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GOVIA\"/>
    </mc:Choice>
  </mc:AlternateContent>
  <workbookProtection workbookAlgorithmName="SHA-512" workbookHashValue="4xJi5ShCHE6ZXsfJ8TEkCr0D3FvMI9tjH33XTK0pKbPsRe9d9yzqQW+x6z3bdvAt73eUkJEFwjODhsu3t9u3Fw==" workbookSaltValue="r4gyQBCj/tvf1ozi3snFh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AC19" i="8" l="1"/>
  <c r="AL16" i="11"/>
  <c r="C16" i="6"/>
  <c r="S19"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Q10" i="11" s="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X19" i="21" s="1"/>
  <c r="U9" i="17"/>
  <c r="U19" i="17" s="1"/>
  <c r="L9" i="2"/>
  <c r="V9" i="16"/>
  <c r="BH9" i="16"/>
  <c r="BJ17" i="11"/>
  <c r="BH15" i="16"/>
  <c r="V11" i="16"/>
  <c r="BF16" i="11"/>
  <c r="P16" i="11" s="1"/>
  <c r="BL12" i="11"/>
  <c r="V12" i="21"/>
  <c r="V13" i="21" s="1"/>
  <c r="V19" i="21" s="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AP16" i="20"/>
  <c r="V15" i="11"/>
  <c r="BH15" i="11"/>
  <c r="BH18" i="11" s="1"/>
  <c r="Q17" i="20"/>
  <c r="Q18" i="20" s="1"/>
  <c r="BF17" i="11"/>
  <c r="S17" i="16"/>
  <c r="V17" i="16"/>
  <c r="BK15" i="11"/>
  <c r="AZ17" i="11"/>
  <c r="Q10" i="21"/>
  <c r="BJ11" i="11"/>
  <c r="BI17" i="11"/>
  <c r="BL11" i="11"/>
  <c r="BM15" i="11"/>
  <c r="T15" i="16"/>
  <c r="BW9" i="20"/>
  <c r="BV16" i="16"/>
  <c r="BV18" i="16" s="1"/>
  <c r="BV15" i="16"/>
  <c r="BU9" i="17"/>
  <c r="BU17" i="17"/>
  <c r="BU12" i="17"/>
  <c r="AZ16" i="11"/>
  <c r="X17" i="17"/>
  <c r="P15" i="17"/>
  <c r="P18" i="17" s="1"/>
  <c r="P19" i="17" s="1"/>
  <c r="BL15" i="11"/>
  <c r="Q15" i="11" s="1"/>
  <c r="BJ10" i="11"/>
  <c r="BH11" i="11"/>
  <c r="S17" i="17"/>
  <c r="BH12" i="16"/>
  <c r="L12" i="2"/>
  <c r="X15" i="16"/>
  <c r="X18" i="16" s="1"/>
  <c r="T12" i="11"/>
  <c r="R17" i="14"/>
  <c r="R18" i="14" s="1"/>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BK19" i="11" s="1"/>
  <c r="K12" i="12"/>
  <c r="AJ18" i="11"/>
  <c r="D18" i="5"/>
  <c r="F16" i="2"/>
  <c r="H16" i="2"/>
  <c r="J16" i="2"/>
  <c r="F13" i="3"/>
  <c r="E9" i="3"/>
  <c r="G9" i="3"/>
  <c r="T18" i="16"/>
  <c r="T19" i="16" s="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M18" i="14"/>
  <c r="U21" i="11"/>
  <c r="U13" i="11"/>
  <c r="V13" i="11" s="1"/>
  <c r="U19" i="11"/>
  <c r="V19" i="11" s="1"/>
  <c r="V10" i="11"/>
  <c r="V12" i="11"/>
  <c r="O13" i="11"/>
  <c r="O19" i="11"/>
  <c r="O17" i="11"/>
  <c r="AV20" i="21"/>
  <c r="U17" i="11"/>
  <c r="T20" i="20"/>
  <c r="P12" i="11" l="1"/>
  <c r="BE13" i="8"/>
  <c r="AL13" i="11"/>
  <c r="B13" i="6"/>
  <c r="BF13" i="8"/>
  <c r="AO13" i="17"/>
  <c r="BF18" i="11"/>
  <c r="BW21" i="20"/>
  <c r="P17" i="11"/>
  <c r="BI18" i="11"/>
  <c r="BL18" i="11"/>
  <c r="P15" i="11"/>
  <c r="Q12"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<sst xmlns="http://schemas.openxmlformats.org/spreadsheetml/2006/main" count="2102" uniqueCount="918">
  <si>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</si>
  <si>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</si>
  <si>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</si>
  <si>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</si>
  <si>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</si>
  <si>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</si>
  <si>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</si>
  <si>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</si>
  <si>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</si>
  <si>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</si>
  <si>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</si>
  <si>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</si>
  <si>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</si>
  <si>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</si>
  <si>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</si>
  <si>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</si>
  <si>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</si>
  <si>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</si>
  <si>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</si>
  <si>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</si>
  <si>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</si>
  <si>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</si>
  <si>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</si>
  <si>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</si>
  <si>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</si>
  <si>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</si>
  <si>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</si>
  <si>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</si>
  <si>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</si>
  <si>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</si>
  <si>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</si>
  <si>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</si>
  <si>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</si>
  <si>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</si>
  <si>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</si>
  <si>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</si>
  <si>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</si>
  <si>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</si>
  <si>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</si>
  <si>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</si>
  <si>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</si>
  <si>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</si>
  <si>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</si>
  <si>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</si>
  <si>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</si>
  <si>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</si>
  <si>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</si>
  <si>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</si>
  <si>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</si>
  <si>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</si>
  <si>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</si>
  <si>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</si>
  <si>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</si>
  <si>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</si>
  <si>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</si>
  <si>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</si>
  <si>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</si>
  <si>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</si>
  <si>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</si>
  <si>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</si>
  <si>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</si>
  <si>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</si>
  <si>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</si>
  <si>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</si>
  <si>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</si>
  <si>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</si>
  <si>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</si>
  <si>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</si>
  <si>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</si>
  <si>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</si>
  <si>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</si>
  <si>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</si>
  <si>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</si>
  <si>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</si>
  <si>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</si>
  <si>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</si>
  <si>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</si>
  <si>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</si>
  <si>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</si>
  <si>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</si>
  <si>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</si>
  <si>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</si>
  <si>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</si>
  <si>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</si>
  <si>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</si>
  <si>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</si>
  <si>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</si>
  <si>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</si>
  <si>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</si>
  <si>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</si>
  <si>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</si>
  <si>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</si>
  <si>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</si>
  <si>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</si>
  <si>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</si>
  <si>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</si>
  <si>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</si>
  <si>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</si>
  <si>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</si>
  <si>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</si>
  <si>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</si>
  <si>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</si>
  <si>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</si>
  <si>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</si>
  <si>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</si>
  <si>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</si>
  <si>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</si>
  <si>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</si>
  <si>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</si>
  <si>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</si>
  <si>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</si>
  <si>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</si>
  <si>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</si>
  <si>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</si>
  <si>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</si>
  <si>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</si>
  <si>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</si>
  <si>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</si>
  <si>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</si>
  <si>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</si>
  <si>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</si>
  <si>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</si>
  <si>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</si>
  <si>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</si>
  <si>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</si>
  <si>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</si>
  <si>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</si>
  <si>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</si>
  <si>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</si>
  <si>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</si>
  <si>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</si>
  <si>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</si>
  <si>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</si>
  <si>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</si>
  <si>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</si>
  <si>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</si>
  <si>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</si>
  <si>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</si>
  <si>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</si>
  <si>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</si>
  <si>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</si>
  <si>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</si>
  <si>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</si>
  <si>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</si>
  <si>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</si>
  <si>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</si>
  <si>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</si>
  <si>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</si>
  <si>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</si>
  <si>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</si>
  <si>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</si>
  <si>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</si>
  <si>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</si>
  <si>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</si>
  <si>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</si>
  <si>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</si>
  <si>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</si>
  <si>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</si>
  <si>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</si>
  <si>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</si>
  <si>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</si>
  <si>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</si>
  <si>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</si>
  <si>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</si>
  <si>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</si>
  <si>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</si>
  <si>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</si>
  <si>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</si>
  <si>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</si>
  <si>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</si>
  <si>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</si>
  <si>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</si>
  <si>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</si>
  <si>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</si>
  <si>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</si>
  <si>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</si>
  <si>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</si>
  <si>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</si>
  <si>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</si>
  <si>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</si>
  <si>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</si>
  <si>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</si>
  <si>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</si>
  <si>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</si>
  <si>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</si>
  <si>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</si>
  <si>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</si>
  <si>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</si>
  <si>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</si>
  <si>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</si>
  <si>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</si>
  <si>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</si>
  <si>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</si>
  <si>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</si>
  <si>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</si>
  <si>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</si>
  <si>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</si>
  <si>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</si>
  <si>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</si>
  <si>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</si>
  <si>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</si>
  <si>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</si>
  <si>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</si>
  <si>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</si>
  <si>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</si>
  <si>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</si>
  <si>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</si>
  <si>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</si>
  <si>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</si>
  <si>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</si>
  <si>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</si>
  <si>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</si>
  <si>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</si>
  <si>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</si>
  <si>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</si>
  <si>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</si>
  <si>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</si>
  <si>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</si>
  <si>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</si>
  <si>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</si>
  <si>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</si>
  <si>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</si>
  <si>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</si>
  <si>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</si>
  <si>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</si>
  <si>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</si>
  <si>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</si>
  <si>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</si>
  <si>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</si>
  <si>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</si>
  <si>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</si>
  <si>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</si>
  <si>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</si>
  <si>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</si>
  <si>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</si>
  <si>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</si>
  <si>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</si>
  <si>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</si>
  <si>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</si>
  <si>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</si>
  <si>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</si>
  <si>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</si>
  <si>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</si>
  <si>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</si>
  <si>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</si>
  <si>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</si>
  <si>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</si>
  <si>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</si>
  <si>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</si>
  <si>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</si>
  <si>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</si>
  <si>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</si>
  <si>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</si>
  <si>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</si>
  <si>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</si>
  <si>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</si>
  <si>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</si>
  <si>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</si>
  <si>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</si>
  <si>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</si>
  <si>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</si>
  <si>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</si>
  <si>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</si>
  <si>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</si>
  <si>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</si>
  <si>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</si>
  <si>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</si>
  <si>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</si>
  <si>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</si>
  <si>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</si>
  <si>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</si>
  <si>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</si>
  <si>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</si>
  <si>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</si>
  <si>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</si>
  <si>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</si>
  <si>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</si>
  <si>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</si>
  <si>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</si>
  <si>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</si>
  <si>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</si>
  <si>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</si>
  <si>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</si>
  <si>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</si>
  <si>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</si>
  <si>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</si>
  <si>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</si>
  <si>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</si>
  <si>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</si>
  <si>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</si>
  <si>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</si>
  <si>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</si>
  <si>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</si>
  <si>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</si>
  <si>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</si>
  <si>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</si>
  <si>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</si>
  <si>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</si>
  <si>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</si>
  <si>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</si>
  <si>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</si>
  <si>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</si>
  <si>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</si>
  <si>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</si>
  <si>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</si>
  <si>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</si>
  <si>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</si>
  <si>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</si>
  <si>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</si>
  <si>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</si>
  <si>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</si>
  <si>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</si>
  <si>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</si>
  <si>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</si>
  <si>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</si>
  <si>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</si>
  <si>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</si>
  <si>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</si>
  <si>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</si>
  <si>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</si>
  <si>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</si>
  <si>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</si>
  <si>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</si>
  <si>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</si>
  <si>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</si>
  <si>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</si>
  <si>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</si>
  <si>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</si>
  <si>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</si>
  <si>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</si>
  <si>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</si>
  <si>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</si>
  <si>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</si>
  <si>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</si>
  <si>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</si>
  <si>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</si>
  <si>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</si>
  <si>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</si>
  <si>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</si>
  <si>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</si>
  <si>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</si>
  <si>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</si>
  <si>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</si>
  <si>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</si>
  <si>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</si>
  <si>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</si>
  <si>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</si>
  <si>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</si>
  <si>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</si>
  <si>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</si>
  <si>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</si>
  <si>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</si>
  <si>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</si>
  <si>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</si>
  <si>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</si>
  <si>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</si>
  <si>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</si>
  <si>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</si>
  <si>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</si>
  <si>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</si>
  <si>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</si>
  <si>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</si>
  <si>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</si>
  <si>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</si>
  <si>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</si>
  <si>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</si>
  <si>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</si>
  <si>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</si>
  <si>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</si>
  <si>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</si>
  <si>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</si>
  <si>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</si>
  <si>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</si>
  <si>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</si>
  <si>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</si>
  <si>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</si>
  <si>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</si>
  <si>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</si>
  <si>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</si>
  <si>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</si>
  <si>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</si>
  <si>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</si>
  <si>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</si>
  <si>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</si>
  <si>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</si>
  <si>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</si>
  <si>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</si>
  <si>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</si>
  <si>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</si>
  <si>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</si>
  <si>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</si>
  <si>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</si>
  <si>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</si>
  <si>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</si>
  <si>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</si>
  <si>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</si>
  <si>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</si>
  <si>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</si>
  <si>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</si>
  <si>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</si>
  <si>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</si>
  <si>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</si>
  <si>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</si>
  <si>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</si>
  <si>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</si>
  <si>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</si>
  <si>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</si>
  <si>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</si>
  <si>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</si>
  <si>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</si>
  <si>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</si>
  <si>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</si>
  <si>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</si>
  <si>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</si>
  <si>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</si>
  <si>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</si>
  <si>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</si>
  <si>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</si>
  <si>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</si>
  <si>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</si>
  <si>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</si>
  <si>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</si>
  <si>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</si>
  <si>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</si>
  <si>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</si>
  <si>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</si>
  <si>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</si>
  <si>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</si>
  <si>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</si>
  <si>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</si>
  <si>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</si>
  <si>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</si>
  <si>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</si>
  <si>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</si>
  <si>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</si>
  <si>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</si>
  <si>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</si>
  <si>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</si>
  <si>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</si>
  <si>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</si>
  <si>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</si>
  <si>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</si>
  <si>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</si>
  <si>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</si>
  <si>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</si>
  <si>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</si>
  <si>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</si>
  <si>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</si>
  <si>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</si>
  <si>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</si>
  <si>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</si>
  <si>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</si>
  <si>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</si>
  <si>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</si>
  <si>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</si>
  <si>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</si>
  <si>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</si>
  <si>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</si>
  <si>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</si>
  <si>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</si>
  <si>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</si>
  <si>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</si>
  <si>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</si>
  <si>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</si>
  <si>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</si>
  <si>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</si>
  <si>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</si>
  <si>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</si>
  <si>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</si>
  <si>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</si>
  <si>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</si>
  <si>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</si>
  <si>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</si>
  <si>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</si>
  <si>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</si>
  <si>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</si>
  <si>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</si>
  <si>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</si>
  <si>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</si>
  <si>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</si>
  <si>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</si>
  <si>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</si>
  <si>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</si>
  <si>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</si>
  <si>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</si>
  <si>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</si>
  <si>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</si>
  <si>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</si>
  <si>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</si>
  <si>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</si>
  <si>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</si>
  <si>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</si>
  <si>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</si>
  <si>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</si>
  <si>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</si>
  <si>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</si>
  <si>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</si>
  <si>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</si>
  <si>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</si>
  <si>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</si>
  <si>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</si>
  <si>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</si>
  <si>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</si>
  <si>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</si>
  <si>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</si>
  <si>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</si>
  <si>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</si>
  <si>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</si>
  <si>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</si>
  <si>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</si>
  <si>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</si>
  <si>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</si>
  <si>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</si>
  <si>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</si>
  <si>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</si>
  <si>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</si>
  <si>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</si>
  <si>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</si>
  <si>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</si>
  <si>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</si>
  <si>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</si>
  <si>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</si>
  <si>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</si>
  <si>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</si>
  <si>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</si>
  <si>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</si>
  <si>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</si>
  <si>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</si>
  <si>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</si>
  <si>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</si>
  <si>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</si>
  <si>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</si>
  <si>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</si>
  <si>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</si>
  <si>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</si>
  <si>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</si>
  <si>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</si>
  <si>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</si>
  <si>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</si>
  <si>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</si>
  <si>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</si>
  <si>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</si>
  <si>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</si>
  <si>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</si>
  <si>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</si>
  <si>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</si>
  <si>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</si>
  <si>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</si>
  <si>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</si>
  <si>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</si>
  <si>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</si>
  <si>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</si>
  <si>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</si>
  <si>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</si>
  <si>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</si>
  <si>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</si>
  <si>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</si>
  <si>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</si>
  <si>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</si>
  <si>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</si>
  <si>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</si>
  <si>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</si>
  <si>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</si>
  <si>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</si>
  <si>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</si>
  <si>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</si>
  <si>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</si>
  <si>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</si>
  <si>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</si>
  <si>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</si>
  <si>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</si>
  <si>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</si>
  <si>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</si>
  <si>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</si>
  <si>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</si>
  <si>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</si>
  <si>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</si>
  <si>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</si>
  <si>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</si>
  <si>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</si>
  <si>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</si>
  <si>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</si>
  <si>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</si>
  <si>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</si>
  <si>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</si>
  <si>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</si>
  <si>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</si>
  <si>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</si>
  <si>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</si>
  <si>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</si>
  <si>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</si>
  <si>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</si>
  <si>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</si>
  <si>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</si>
  <si>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</si>
  <si>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</si>
  <si>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</si>
  <si>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</si>
  <si>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</si>
  <si>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</si>
  <si>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</si>
  <si>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</si>
  <si>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</si>
  <si>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</si>
  <si>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</si>
  <si>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</si>
  <si>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</si>
  <si>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</si>
  <si>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</si>
  <si>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</si>
  <si>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</si>
  <si>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</si>
  <si>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</si>
  <si>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</si>
  <si>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</si>
  <si>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</si>
  <si>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</si>
  <si>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</si>
  <si>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</si>
  <si>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</si>
  <si>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</si>
  <si>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</si>
  <si>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</si>
  <si>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</si>
  <si>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</si>
  <si>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</si>
  <si>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</si>
  <si>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</si>
  <si>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</si>
  <si>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</si>
  <si>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</si>
  <si>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</si>
  <si>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</si>
  <si>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</si>
  <si>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</si>
  <si>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</si>
  <si>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</si>
  <si>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</si>
  <si>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</si>
  <si>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</si>
  <si>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</si>
  <si>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</si>
  <si>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</si>
  <si>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</si>
  <si>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</si>
  <si>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</si>
  <si>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</si>
  <si>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</si>
  <si>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</si>
  <si>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</si>
  <si>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</si>
  <si>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</si>
  <si>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</si>
  <si>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</si>
  <si>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</si>
  <si>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</si>
  <si>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</si>
  <si>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</si>
  <si>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</si>
  <si>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</si>
  <si>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</si>
  <si>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</si>
  <si>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</si>
  <si>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</si>
  <si>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</si>
  <si>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</si>
  <si>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</si>
  <si>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</si>
  <si>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</si>
  <si>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</si>
  <si>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</si>
  <si>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</si>
  <si>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</si>
  <si>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</si>
  <si>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</si>
  <si>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</si>
  <si>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</si>
  <si>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</si>
  <si>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</si>
  <si>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</si>
  <si>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</si>
  <si>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</si>
  <si>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</si>
  <si>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</si>
  <si>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</si>
  <si>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</si>
  <si>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</si>
  <si>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</si>
  <si>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</si>
  <si>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</si>
  <si>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</si>
  <si>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</si>
  <si>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</si>
  <si>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</si>
  <si>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</si>
  <si>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</si>
  <si>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</si>
  <si>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</si>
  <si>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</si>
  <si>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</si>
  <si>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</si>
  <si>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</si>
  <si>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</si>
  <si>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</si>
  <si>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</si>
  <si>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</si>
  <si>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</si>
  <si>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</si>
  <si>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</si>
  <si>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</si>
  <si>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</si>
  <si>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</si>
  <si>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</si>
  <si>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</si>
  <si>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</si>
  <si>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</si>
  <si>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</si>
  <si>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</si>
  <si>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</si>
  <si>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</si>
  <si>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</si>
  <si>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</si>
  <si>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</si>
  <si>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</si>
  <si>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</si>
  <si>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</si>
  <si>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</si>
  <si>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</si>
  <si>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</si>
  <si>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</si>
  <si>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</si>
  <si>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</si>
  <si>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</si>
  <si>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</si>
  <si>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</si>
  <si>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</si>
  <si>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</si>
  <si>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</si>
  <si>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</si>
  <si>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</si>
  <si>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</si>
  <si>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</si>
  <si>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</si>
  <si>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</si>
  <si>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</si>
  <si>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</si>
  <si>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</si>
  <si>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</si>
  <si>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</si>
  <si>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</si>
  <si>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</si>
  <si>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</si>
  <si>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</si>
  <si>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</si>
  <si>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</si>
  <si>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</si>
  <si>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</si>
  <si>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</si>
  <si>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</si>
  <si>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</si>
  <si>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</si>
  <si>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</si>
  <si>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</si>
  <si>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</si>
  <si>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</si>
  <si>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</si>
  <si>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</si>
  <si>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</si>
  <si>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</si>
  <si>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</si>
  <si>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</si>
  <si>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</si>
  <si>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</si>
  <si>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</si>
  <si>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</si>
  <si>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</si>
  <si>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</si>
  <si>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</si>
  <si>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</si>
  <si>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</si>
  <si>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</si>
  <si>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</si>
  <si>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</si>
  <si>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</si>
  <si>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</si>
  <si>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</si>
  <si>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</si>
  <si>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</si>
  <si>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</si>
  <si>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</si>
  <si>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</si>
  <si>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</si>
  <si>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</si>
  <si>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</si>
  <si>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</si>
  <si>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</si>
  <si>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</si>
  <si>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</si>
  <si>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</si>
  <si>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</si>
  <si>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</si>
  <si>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</si>
  <si>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</si>
  <si>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</si>
  <si>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</si>
  <si>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</si>
  <si>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</si>
  <si>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</si>
  <si>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</si>
  <si>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</si>
  <si>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</si>
  <si>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</si>
  <si>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</si>
  <si>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</si>
  <si>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</si>
  <si>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</si>
  <si>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</si>
  <si>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</si>
  <si>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</si>
  <si>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</si>
  <si>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</si>
  <si>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</si>
  <si>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</si>
  <si>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</si>
  <si>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</si>
  <si>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</si>
  <si>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</si>
  <si>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</si>
  <si>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</si>
  <si>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</si>
  <si>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</si>
  <si>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</si>
  <si>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</si>
  <si>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</si>
  <si>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</si>
  <si>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</si>
  <si>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</si>
  <si>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</si>
  <si>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</si>
  <si>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</si>
  <si>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</si>
  <si>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</si>
  <si>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</si>
  <si>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</si>
  <si>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</si>
  <si>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</si>
  <si>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</si>
  <si>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</si>
  <si>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</si>
  <si>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</si>
  <si>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</si>
  <si>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</si>
  <si>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</si>
  <si>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</si>
  <si>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</si>
  <si>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</si>
  <si>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</si>
  <si>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</si>
  <si>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</si>
  <si>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</si>
  <si>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</si>
  <si>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</si>
  <si>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</si>
  <si>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</si>
  <si>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</si>
  <si>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</si>
  <si>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</si>
  <si>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</si>
  <si>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</si>
  <si>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</si>
  <si>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</si>
  <si>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</si>
  <si>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</si>
  <si>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</si>
  <si>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</si>
  <si>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</si>
  <si>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</si>
  <si>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</si>
  <si>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</si>
  <si>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</si>
  <si>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</si>
  <si>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</si>
  <si>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</si>
  <si>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</si>
  <si>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</si>
  <si>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</si>
  <si>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</si>
  <si>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</si>
  <si>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</si>
  <si>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</si>
  <si>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</si>
  <si>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</si>
  <si>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</si>
  <si>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</si>
  <si>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</si>
  <si>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</si>
  <si>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</si>
  <si>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</si>
  <si>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</si>
  <si>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</si>
  <si>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</si>
  <si>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</si>
  <si>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</si>
  <si>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</si>
  <si>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</si>
  <si>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</si>
  <si>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</si>
  <si>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</si>
  <si>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</si>
  <si>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</si>
  <si>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</si>
  <si>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</si>
  <si>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</si>
  <si>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 Y LEON</t>
  </si>
  <si>
    <t>Provincias</t>
  </si>
  <si>
    <t>SEGOVIA</t>
  </si>
  <si>
    <t>Resumenes por Partidos Judiciales</t>
  </si>
  <si>
    <t>SANTA MARIA LA REAL DE NIEVA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</si>
</sst>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t05Z2KKgde4QtZiDO+EkrEOsuW/SY0WAEVqxFECR5uBIICaIMxEWOcEC5F2s06jwOzcQ0okF+1w/TcBdME8qA==" saltValue="GfYpl/yI+u+6qw5BEttQM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SEGOVIA</v>
      </c>
      <c r="D3" s="375"/>
      <c r="E3" s="375"/>
      <c r="F3" s="375"/>
      <c r="BQ3" s="471"/>
    </row>
    <row r="4" spans="1:69" ht="13.5" thickBot="1">
      <c r="A4" s="375"/>
      <c r="B4" s="391" t="str">
        <f>Criterios!A11 &amp;"  "&amp;Criterios!B11</f>
        <v>Resumenes por Partidos Judiciales  SANTA MARIA LA REAL DE NIEVA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3</v>
      </c>
      <c r="F10" s="404">
        <f>IF(ISNUMBER(E10/B10),E10/B10," - ")</f>
        <v>3</v>
      </c>
      <c r="G10" s="403">
        <f>IF(ISNUMBER(Datos!K10),Datos!K10," - ")</f>
        <v>2</v>
      </c>
      <c r="H10" s="404">
        <f>IF(ISNUMBER(G10/B10),G10/B10," - ")</f>
        <v>2</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438</v>
      </c>
      <c r="D12" s="404">
        <f>IF(ISNUMBER(C12/Datos!BH12),C12/Datos!BH12," - ")</f>
        <v>438</v>
      </c>
      <c r="E12" s="403">
        <f>IF(ISNUMBER(IF(J_V="SI",Datos!J12,Datos!J12+Datos!Z12)),IF(J_V="SI",Datos!J12,Datos!J12+Datos!Z12)," - ")</f>
        <v>974</v>
      </c>
      <c r="F12" s="404">
        <f>IF(ISNUMBER(E12/B12),E12/B12," - ")</f>
        <v>974</v>
      </c>
      <c r="G12" s="403">
        <f>IF(ISNUMBER(IF(J_V="SI",Datos!K12,Datos!K12+Datos!AA12)),IF(J_V="SI",Datos!K12,Datos!K12+Datos!AA12)," - ")</f>
        <v>1015</v>
      </c>
      <c r="H12" s="404">
        <f>IF(ISNUMBER(G12/B12),G12/B12," - ")</f>
        <v>1015</v>
      </c>
      <c r="I12" s="403">
        <f>IF(ISNUMBER(IF(J_V="SI",Datos!L12,Datos!L12+Datos!AB12)),IF(J_V="SI",Datos!L12,Datos!L12+Datos!AB12)," - ")</f>
        <v>491</v>
      </c>
      <c r="J12" s="404">
        <f>IF(ISNUMBER(I12/B12),I12/B12," - ")</f>
        <v>491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438</v>
      </c>
      <c r="D13" s="850" t="str">
        <f>IF(ISNUMBER(C13/Datos!BI13),C13/Datos!BI13," - ")</f>
        <v xml:space="preserve"> - </v>
      </c>
      <c r="E13" s="849">
        <f>SUBTOTAL(9,E8:E12)</f>
        <v>977</v>
      </c>
      <c r="F13" s="850">
        <f>IF(ISNUMBER(E13/B13),E13/B13," - ")</f>
        <v>977</v>
      </c>
      <c r="G13" s="849">
        <f>SUBTOTAL(9,G8:G12)</f>
        <v>1017</v>
      </c>
      <c r="H13" s="850">
        <f>IF(ISNUMBER(G13/B13),G13/B13," - ")</f>
        <v>1017</v>
      </c>
      <c r="I13" s="849">
        <f>SUBTOTAL(9,I8:I12)</f>
        <v>492</v>
      </c>
      <c r="J13" s="850">
        <f>IF(ISNUMBER(I13/B13),I13/B13," - ")</f>
        <v>492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352</v>
      </c>
      <c r="D16" s="404">
        <f>IF(ISNUMBER(C16/Datos!BH16),C16/Datos!BH16," - ")</f>
        <v>352</v>
      </c>
      <c r="E16" s="403">
        <f>IF(ISNUMBER(IF(D_I="SI",Datos!J16,Datos!J16+Datos!AD16)),IF(D_I="SI",Datos!J16,Datos!J16+Datos!AD16)," - ")</f>
        <v>609</v>
      </c>
      <c r="F16" s="404">
        <f>IF(ISNUMBER(E16/B16),E16/B16," - ")</f>
        <v>609</v>
      </c>
      <c r="G16" s="403">
        <f>IF(ISNUMBER(IF(D_I="SI",Datos!K16,Datos!K16+Datos!AE16)),IF(D_I="SI",Datos!K16,Datos!K16+Datos!AE16)," - ")</f>
        <v>613</v>
      </c>
      <c r="H16" s="404">
        <f>IF(ISNUMBER(G16/B16),G16/B16," - ")</f>
        <v>613</v>
      </c>
      <c r="I16" s="403">
        <f>IF(ISNUMBER(IF(D_I="SI",Datos!L16,Datos!L16+Datos!AF16)),IF(D_I="SI",Datos!L16,Datos!L16+Datos!AF16)," - ")</f>
        <v>337</v>
      </c>
      <c r="J16" s="404">
        <f>IF(ISNUMBER(I16/B16),I16/B16," - ")</f>
        <v>337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48</v>
      </c>
      <c r="F17" s="404">
        <f>IF(ISNUMBER(E17/B17),E17/B17," - ")</f>
        <v>48</v>
      </c>
      <c r="G17" s="403">
        <f>IF(ISNUMBER(IF(D_I="SI",Datos!K17,Datos!K17+Datos!AE17)),IF(D_I="SI",Datos!K17,Datos!K17+Datos!AE17)," - ")</f>
        <v>61</v>
      </c>
      <c r="H17" s="404">
        <f>IF(ISNUMBER(G17/B17),G17/B17," - ")</f>
        <v>61</v>
      </c>
      <c r="I17" s="403">
        <f>IF(ISNUMBER(IF(D_I="SI",Datos!L17,Datos!L17+Datos!AF17)),IF(D_I="SI",Datos!L17,Datos!L17+Datos!AF17)," - ")</f>
        <v>21</v>
      </c>
      <c r="J17" s="404">
        <f>IF(ISNUMBER(I17/B17),I17/B17," - ")</f>
        <v>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371</v>
      </c>
      <c r="D18" s="850" t="str">
        <f>IF(ISNUMBER(C18/Datos!BI18),C18/Datos!BI18," - ")</f>
        <v xml:space="preserve"> - </v>
      </c>
      <c r="E18" s="849">
        <f>SUBTOTAL(9,E14:E17)</f>
        <v>657</v>
      </c>
      <c r="F18" s="850">
        <f>IF(ISNUMBER(E18/B18),E18/B18," - ")</f>
        <v>657</v>
      </c>
      <c r="G18" s="849">
        <f>SUBTOTAL(9,G14:G17)</f>
        <v>674</v>
      </c>
      <c r="H18" s="850">
        <f>IF(ISNUMBER(G18/B18),G18/B18," - ")</f>
        <v>674</v>
      </c>
      <c r="I18" s="849">
        <f>SUBTOTAL(9,I14:I17)</f>
        <v>358</v>
      </c>
      <c r="J18" s="850">
        <f>IF(ISNUMBER(I18/B18),I18/B18," - ")</f>
        <v>358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809</v>
      </c>
      <c r="D19" s="795" t="str">
        <f>IF(ISNUMBER(C19/Datos!BI19),C19/Datos!BI19," - ")</f>
        <v xml:space="preserve"> - </v>
      </c>
      <c r="E19" s="794">
        <f>SUBTOTAL(9,E9:E18)</f>
        <v>1634</v>
      </c>
      <c r="F19" s="795">
        <f>IF(ISNUMBER(E19/B19),E19/B19," - ")</f>
        <v>1634</v>
      </c>
      <c r="G19" s="794">
        <f>SUBTOTAL(9,G9:G18)</f>
        <v>1691</v>
      </c>
      <c r="H19" s="795">
        <f>IF(ISNUMBER(G19/B19),G19/B19," - ")</f>
        <v>1691</v>
      </c>
      <c r="I19" s="794">
        <f>SUBTOTAL(9,I9:I18)</f>
        <v>850</v>
      </c>
      <c r="J19" s="795">
        <f>IF(ISNUMBER(I19/B19),I19/B19," - ")</f>
        <v>850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OPEaIBaqSE0OGT8wCry8wm1lkIjCTypl7MUcDUtI8IelckayYblQvwTvu2iDYzjkTIJItDxldDO1BbuZZL19ig==" saltValue="DNPg/IITah35PUgI0Dds5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SEGOVIA</v>
      </c>
      <c r="C3" s="415"/>
      <c r="F3" s="375"/>
      <c r="G3" s="375"/>
      <c r="H3" s="375"/>
    </row>
    <row r="4" spans="1:15" ht="13.5" thickBot="1">
      <c r="A4" s="375"/>
      <c r="B4" s="391" t="str">
        <f>Criterios!A11 &amp;"  "&amp;Criterios!B11</f>
        <v>Resumenes por Partidos Judiciales  SANTA MARIA LA REAL DE NIEVA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qYBSDwLBq8Q3khLHfe2Lh4k8SY1DzDcH/Lm75Qz+Yf2E8jG12rnG6ogn0RMgl++knYC3/ah0qN1Ta7/9rRJ3xA==" saltValue="aFyvPuA4LxY2eJVhW5lnL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SEGOVIA</v>
      </c>
      <c r="C3" s="391"/>
      <c r="D3" s="425"/>
      <c r="BZ3" s="471"/>
    </row>
    <row r="4" spans="1:78" ht="13.5" thickBot="1">
      <c r="B4" s="391" t="str">
        <f>Criterios!A11 &amp;"  "&amp;Criterios!B11</f>
        <v>Resumenes por Partidos Judiciales  SANTA MARIA LA REAL DE NIEVA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340</v>
      </c>
      <c r="E12" s="404">
        <f t="shared" si="0"/>
        <v>340</v>
      </c>
      <c r="F12" s="403">
        <f>IF(ISNUMBER(Datos!N12),Datos!N12," - ")</f>
        <v>319</v>
      </c>
      <c r="G12" s="404">
        <f t="shared" si="1"/>
        <v>319</v>
      </c>
      <c r="H12" s="403">
        <f>IF(ISNUMBER(Datos!O12),Datos!O12," - ")</f>
        <v>239</v>
      </c>
      <c r="I12" s="404">
        <f t="shared" si="2"/>
        <v>239</v>
      </c>
      <c r="BZ12" s="1186">
        <f>Datos!EZ12</f>
        <v>0</v>
      </c>
    </row>
    <row r="13" spans="1:78" ht="14.25" thickTop="1" thickBot="1">
      <c r="A13" s="848" t="str">
        <f>Datos!A13</f>
        <v>TOTAL</v>
      </c>
      <c r="B13" s="849">
        <f>Datos!AP13</f>
        <v>1</v>
      </c>
      <c r="C13" s="851">
        <f>Datos!AR13</f>
        <v>1</v>
      </c>
      <c r="D13" s="849">
        <f>SUBTOTAL(9,D9:D12)</f>
        <v>340</v>
      </c>
      <c r="E13" s="850">
        <f t="shared" si="0"/>
        <v>340</v>
      </c>
      <c r="F13" s="849">
        <f>SUBTOTAL(9,F9:F12)</f>
        <v>320</v>
      </c>
      <c r="G13" s="850">
        <f t="shared" si="1"/>
        <v>320</v>
      </c>
      <c r="H13" s="849">
        <f>SUBTOTAL(9,H9:H12)</f>
        <v>239</v>
      </c>
      <c r="I13" s="850">
        <f>IF(ISNUMBER(H13/B13),H13/B13," - ")</f>
        <v>239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70</v>
      </c>
      <c r="E16" s="404">
        <f t="shared" si="3"/>
        <v>70</v>
      </c>
      <c r="F16" s="403">
        <f>IF(ISNUMBER(Datos!N16),Datos!N16," - ")</f>
        <v>371</v>
      </c>
      <c r="G16" s="404">
        <f t="shared" si="4"/>
        <v>371</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47</v>
      </c>
      <c r="G17" s="404">
        <f>IF(ISNUMBER(F17/B17),F17/B17," - ")</f>
        <v>47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70</v>
      </c>
      <c r="E18" s="850">
        <f t="shared" si="3"/>
        <v>70</v>
      </c>
      <c r="F18" s="849">
        <f>SUBTOTAL(9,F15:F17)</f>
        <v>418</v>
      </c>
      <c r="G18" s="850">
        <f t="shared" si="4"/>
        <v>418</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410</v>
      </c>
      <c r="E19" s="795">
        <f>IF(ISNUMBER(D19/B19),D19/B19," - ")</f>
        <v>410</v>
      </c>
      <c r="F19" s="794">
        <f>SUBTOTAL(9,F8:F18)</f>
        <v>738</v>
      </c>
      <c r="G19" s="795">
        <f>IF(ISNUMBER(F19/B19),F19/B19," - ")</f>
        <v>738</v>
      </c>
      <c r="H19" s="794">
        <f>SUBTOTAL(9,H8:H18)</f>
        <v>239</v>
      </c>
      <c r="I19" s="795">
        <f>IF(ISNUMBER(H19/B19),H19/B19," - ")</f>
        <v>239</v>
      </c>
    </row>
    <row r="22" spans="1:78">
      <c r="A22" s="391" t="str">
        <f>Criterios!A4</f>
        <v>Fecha Informe: 28 feb. 2025</v>
      </c>
    </row>
    <row r="27" spans="1:78">
      <c r="A27" s="414"/>
    </row>
  </sheetData>
  <sheetProtection algorithmName="SHA-512" hashValue="le+mPMXq/QR5eQDrVTS+VVeXGSCC/iNdZPuN6pCnMwc9mNb3n/+WaKVXCPud3e29+Tbqzl7fyJGXsp9wQg9OTQ==" saltValue="Fvv5PVTzJeBrLlody6+9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SEGOVIA</v>
      </c>
    </row>
    <row r="4" spans="1:4" ht="13.5" thickBot="1">
      <c r="B4" s="391" t="str">
        <f>Criterios!A11 &amp;"  "&amp;Criterios!B11</f>
        <v>Resumenes por Partidos Judiciales  SANTA MARIA LA REAL DE NIEVA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204</v>
      </c>
      <c r="C12" s="434">
        <f>IF(ISNUMBER(Datos!Q12),Datos!Q12," - ")</f>
        <v>94</v>
      </c>
      <c r="D12" s="408">
        <f>IF(ISNUMBER(Datos!R12),Datos!R12," - ")</f>
        <v>928</v>
      </c>
    </row>
    <row r="13" spans="1:4" ht="14.25" thickTop="1" thickBot="1">
      <c r="A13" s="848" t="str">
        <f>Datos!A13</f>
        <v>TOTAL</v>
      </c>
      <c r="B13" s="849">
        <f>SUBTOTAL(9,B9:B12)</f>
        <v>204</v>
      </c>
      <c r="C13" s="853">
        <f>SUBTOTAL(9,C9:C12)</f>
        <v>94</v>
      </c>
      <c r="D13" s="851">
        <f>SUBTOTAL(9,D9:D12)</f>
        <v>928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11</v>
      </c>
      <c r="D16" s="408">
        <f>IF(ISNUMBER(Datos!R16),Datos!R16," - ")</f>
        <v>31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v>
      </c>
      <c r="C18" s="853">
        <f>SUBTOTAL(9,C15:C17)</f>
        <v>11</v>
      </c>
      <c r="D18" s="851">
        <f>SUBTOTAL(9,D15:D17)</f>
        <v>31</v>
      </c>
    </row>
    <row r="19" spans="1:4" ht="16.5" customHeight="1" thickTop="1" thickBot="1">
      <c r="A19" s="793" t="str">
        <f>Datos!A19</f>
        <v>TOTAL JURISDICCIONES</v>
      </c>
      <c r="B19" s="798">
        <f>SUBTOTAL(9,B8:B18)</f>
        <v>213</v>
      </c>
      <c r="C19" s="799">
        <f>SUBTOTAL(9,C8:C18)</f>
        <v>105</v>
      </c>
      <c r="D19" s="800">
        <f>SUBTOTAL(9,D8:D18)</f>
        <v>959</v>
      </c>
    </row>
    <row r="20" spans="1:4" ht="7.5" customHeight="1"/>
    <row r="21" spans="1:4" ht="6" customHeight="1"/>
    <row r="22" spans="1:4">
      <c r="A22" s="391" t="str">
        <f>Criterios!A4</f>
        <v>Fecha Informe: 28 feb. 2025</v>
      </c>
    </row>
    <row r="27" spans="1:4">
      <c r="A27" s="414"/>
    </row>
  </sheetData>
  <sheetProtection algorithmName="SHA-512" hashValue="yM+0mCLVVV2392rkjSwIctmC74x/mUCZFALetDAyg2l+T80vtsilFzasD6BqkvpnsGOcA36YEbcI0LkLIHDhkg==" saltValue="hxeQ0lKw/dJrN4gTcKovV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SEGOVIA</v>
      </c>
    </row>
    <row r="4" spans="1:11" ht="10.5" customHeight="1" thickBot="1">
      <c r="B4" s="391" t="str">
        <f>Criterios!A11 &amp;"  "&amp;Criterios!B11</f>
        <v>Resumenes por Partidos Judiciales  SANTA MARIA LA REAL DE NIEVA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-0.5</v>
      </c>
      <c r="D10" s="456">
        <f>IF(ISNUMBER((Datos!K10-Datos!U10)/Datos!U10),(Datos!K10-Datos!U10)/Datos!U10," - ")</f>
        <v>-0.7142857142857143</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-0.42857142857142866</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-0.11871227364185111</v>
      </c>
      <c r="C12" s="456">
        <f>IF(ISNUMBER(
   IF(J_V="SI",(Datos!J12-Datos!T12)/Datos!T12,(Datos!J12+Datos!Z12-(Datos!T12+Datos!AH12))/(Datos!T12+Datos!AH12))
     ),IF(J_V="SI",(Datos!J12-Datos!T12)/Datos!T12,(Datos!J12+Datos!Z12-(Datos!T12+Datos!AH12))/(Datos!T12+Datos!AH12))," - ")</f>
        <v>0.27989487516425754</v>
      </c>
      <c r="D12" s="456">
        <f>IF(ISNUMBER(
   IF(J_V="SI",(Datos!K12-Datos!U12)/Datos!U12,(Datos!K12+Datos!AA12-(Datos!U12+Datos!AI12))/(Datos!U12+Datos!AI12))
     ),IF(J_V="SI",(Datos!K12-Datos!U12)/Datos!U12,(Datos!K12+Datos!AA12-(Datos!U12+Datos!AI12))/(Datos!U12+Datos!AI12))," - ")</f>
        <v>0.44381223328591751</v>
      </c>
      <c r="E12" s="456">
        <f>IF(ISNUMBER(
   IF(J_V="SI",(Datos!L12-Datos!V12)/Datos!V12,(Datos!L12+Datos!AB12-(Datos!V12+Datos!AJ12))/(Datos!V12+Datos!AJ12))
     ),IF(J_V="SI",(Datos!L12-Datos!V12)/Datos!V12,(Datos!L12+Datos!AB12-(Datos!V12+Datos!AJ12))/(Datos!V12+Datos!AJ12))," - ")</f>
        <v>0.12100456621004566</v>
      </c>
      <c r="F12" s="456">
        <f>IF(ISNUMBER((Datos!M12-Datos!W12)/Datos!W12),(Datos!M12-Datos!W12)/Datos!W12," - ")</f>
        <v>0.79894179894179895</v>
      </c>
      <c r="G12" s="457">
        <f>IF(ISNUMBER((Datos!N12-Datos!X12)/Datos!X12),(Datos!N12-Datos!X12)/Datos!X12," - ")</f>
        <v>0.83333333333333337</v>
      </c>
      <c r="H12" s="455">
        <f>IF(ISNUMBER(((NºAsuntos!G12/NºAsuntos!E12)-Datos!BD12)/Datos!BD12),((NºAsuntos!G12/NºAsuntos!E12)-Datos!BD12)/Datos!BD12," - ")</f>
        <v>0.12807095434351459</v>
      </c>
      <c r="I12" s="456">
        <f>IF(ISNUMBER(((NºAsuntos!I12/NºAsuntos!G12)-Datos!BE12)/Datos!BE12),((NºAsuntos!I12/NºAsuntos!G12)-Datos!BE12)/Datos!BE12," - ")</f>
        <v>-0.22358008862496354</v>
      </c>
      <c r="J12" s="461">
        <f>IF(ISNUMBER((('Resol  Asuntos'!D12/NºAsuntos!G12)-Datos!BF12)/Datos!BF12),(('Resol  Asuntos'!D12/NºAsuntos!G12)-Datos!BF12)/Datos!BF12," - ")</f>
        <v>0.35337749844289668</v>
      </c>
      <c r="K12" s="462">
        <f>IF(ISNUMBER((((NºAsuntos!C12+NºAsuntos!E12)/NºAsuntos!G12)-Datos!BG12)/Datos!BG12),(((NºAsuntos!C12+NºAsuntos!E12)/NºAsuntos!G12)-Datos!BG12)/Datos!BG12," - ")</f>
        <v>-0.22260214430599828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-0.12048192771084337</v>
      </c>
      <c r="C13" s="855">
        <f>IF(ISNUMBER(
   IF(J_V="SI",(Datos!J13-Datos!T13)/Datos!T13,(Datos!J13+Datos!Z13-(Datos!T13+Datos!AH13))/(Datos!T13+Datos!AH13))
     ),IF(J_V="SI",(Datos!J13-Datos!T13)/Datos!T13,(Datos!J13+Datos!Z13-(Datos!T13+Datos!AH13))/(Datos!T13+Datos!AH13))," - ")</f>
        <v>0.27379400260756193</v>
      </c>
      <c r="D13" s="855">
        <f>IF(ISNUMBER(
   IF(J_V="SI",(Datos!K13-Datos!U13)/Datos!U13,(Datos!K13+Datos!AA13-(Datos!U13+Datos!AI13))/(Datos!U13+Datos!AI13))
     ),IF(J_V="SI",(Datos!K13-Datos!U13)/Datos!U13,(Datos!K13+Datos!AA13-(Datos!U13+Datos!AI13))/(Datos!U13+Datos!AI13))," - ")</f>
        <v>0.43239436619718308</v>
      </c>
      <c r="E13" s="855">
        <f>IF(ISNUMBER(
   IF(J_V="SI",(Datos!L13-Datos!V13)/Datos!V13,(Datos!L13+Datos!AB13-(Datos!V13+Datos!AJ13))/(Datos!V13+Datos!AJ13))
     ),IF(J_V="SI",(Datos!L13-Datos!V13)/Datos!V13,(Datos!L13+Datos!AB13-(Datos!V13+Datos!AJ13))/(Datos!V13+Datos!AJ13))," - ")</f>
        <v>0.12328767123287671</v>
      </c>
      <c r="F13" s="856">
        <f>IF(ISNUMBER((Datos!M13-Datos!W13)/Datos!W13),(Datos!M13-Datos!W13)/Datos!W13," - ")</f>
        <v>0.79894179894179895</v>
      </c>
      <c r="G13" s="857">
        <f>IF(ISNUMBER((Datos!N13-Datos!X13)/Datos!X13),(Datos!N13-Datos!X13)/Datos!X13," - ")</f>
        <v>0.83908045977011492</v>
      </c>
      <c r="H13" s="857">
        <f>IF(ISNUMBER(((NºAsuntos!G13/NºAsuntos!E13)-Datos!BD13)/Datos!BD13),((NºAsuntos!G13/NºAsuntos!E13)-Datos!BD13)/Datos!BD13," - ")</f>
        <v>0.12451021379041896</v>
      </c>
      <c r="I13" s="857">
        <f>IF(ISNUMBER(((NºAsuntos!I13/NºAsuntos!G13)-Datos!BE13)/Datos!BE13),((NºAsuntos!I13/NºAsuntos!G13)-Datos!BE13)/Datos!BE13," - ")</f>
        <v>-0.2157972010075295</v>
      </c>
      <c r="J13" s="857">
        <f>IF(ISNUMBER((('Resol  Asuntos'!D13/NºAsuntos!G13)-Datos!BF13)/Datos!BF13),(('Resol  Asuntos'!D13/NºAsuntos!G13)-Datos!BF13)/Datos!BF13," - ")</f>
        <v>0.36416550819968579</v>
      </c>
      <c r="K13" s="857">
        <f>IF(ISNUMBER((((NºAsuntos!C13+NºAsuntos!E13)/NºAsuntos!G13)-Datos!BG13)/Datos!BG13),(((NºAsuntos!C13+NºAsuntos!E13)/NºAsuntos!G13)-Datos!BG13)/Datos!BG13," - ")</f>
        <v>-0.2190858177776224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0.17725752508361203</v>
      </c>
      <c r="C16" s="456">
        <f>IF(ISNUMBER(
   IF(D_I="SI",(Datos!J16-Datos!T16)/Datos!T16,(Datos!J16+Datos!AD16-(Datos!T16+Datos!AL16))/(Datos!T16+Datos!AL16))
     ),IF(D_I="SI",(Datos!J16-Datos!T16)/Datos!T16,(Datos!J16+Datos!AD16-(Datos!T16+Datos!AL16))/(Datos!T16+Datos!AL16))," - ")</f>
        <v>-4.8437500000000001E-2</v>
      </c>
      <c r="D16" s="456">
        <f>IF(ISNUMBER(
   IF(D_I="SI",(Datos!K16-Datos!U16)/Datos!U16,(Datos!K16+Datos!AE16-(Datos!U16+Datos!AM16))/(Datos!U16+Datos!AM16))
     ),IF(D_I="SI",(Datos!K16-Datos!U16)/Datos!U16,(Datos!K16+Datos!AE16-(Datos!U16+Datos!AM16))/(Datos!U16+Datos!AM16))," - ")</f>
        <v>0.25872689938398358</v>
      </c>
      <c r="E16" s="456">
        <f>IF(ISNUMBER(
   IF(D_I="SI",(Datos!L16-Datos!V16)/Datos!V16,(Datos!L16+Datos!AF16-(Datos!V16+Datos!AN16))/(Datos!V16+Datos!AN16))
     ),IF(D_I="SI",(Datos!L16-Datos!V16)/Datos!V16,(Datos!L16+Datos!AF16-(Datos!V16+Datos!AN16))/(Datos!V16+Datos!AN16))," - ")</f>
        <v>-4.261363636363636E-2</v>
      </c>
      <c r="F16" s="456">
        <f>IF(ISNUMBER((Datos!M16-Datos!W16)/Datos!W16),(Datos!M16-Datos!W16)/Datos!W16," - ")</f>
        <v>7.6923076923076927E-2</v>
      </c>
      <c r="G16" s="457">
        <f>IF(ISNUMBER((Datos!N16-Datos!X16)/Datos!X16),(Datos!N16-Datos!X16)/Datos!X16," - ")</f>
        <v>0.16666666666666666</v>
      </c>
      <c r="H16" s="455">
        <f>IF(ISNUMBER(((NºAsuntos!G16/NºAsuntos!E16)-Datos!BD16)/Datos!BD16),((NºAsuntos!G16/NºAsuntos!E16)-Datos!BD16)/Datos!BD16," - ")</f>
        <v>0.32280002562520432</v>
      </c>
      <c r="I16" s="456">
        <f>IF(ISNUMBER(((NºAsuntos!I16/NºAsuntos!G16)-Datos!BE16)/Datos!BE16),((NºAsuntos!I16/NºAsuntos!G16)-Datos!BE16)/Datos!BE16," - ")</f>
        <v>-0.23940104552869645</v>
      </c>
      <c r="J16" s="461">
        <f>IF(ISNUMBER((('Resol  Asuntos'!D16/NºAsuntos!G16)-Datos!BF16)/Datos!BF16),(('Resol  Asuntos'!D16/NºAsuntos!G16)-Datos!BF16)/Datos!BF16," - ")</f>
        <v>-0.14443468440205803</v>
      </c>
      <c r="K16" s="462">
        <f>IF(ISNUMBER((((NºAsuntos!C16+NºAsuntos!E16)/NºAsuntos!G16)-Datos!BG16)/Datos!BG16),(((NºAsuntos!C16+NºAsuntos!E16)/NºAsuntos!G16)-Datos!BG16)/Datos!BG16," - ")</f>
        <v>-0.18693309845085276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0.35714285714285715</v>
      </c>
      <c r="C17" s="456">
        <f>IF(ISNUMBER(
   IF(D_I="SI",(Datos!J17-Datos!T17)/Datos!T17,(Datos!J17+Datos!AD17-(Datos!T17+Datos!AL17))/(Datos!T17+Datos!AL17))
     ),IF(D_I="SI",(Datos!J17-Datos!T17)/Datos!T17,(Datos!J17+Datos!AD17-(Datos!T17+Datos!AL17))/(Datos!T17+Datos!AL17))," - ")</f>
        <v>0.92</v>
      </c>
      <c r="D17" s="456">
        <f>IF(ISNUMBER(
   IF(D_I="SI",(Datos!K17-Datos!U17)/Datos!U17,(Datos!K17+Datos!AE17-(Datos!U17+Datos!AM17))/(Datos!U17+Datos!AM17))
     ),IF(D_I="SI",(Datos!K17-Datos!U17)/Datos!U17,(Datos!K17+Datos!AE17-(Datos!U17+Datos!AM17))/(Datos!U17+Datos!AM17))," - ")</f>
        <v>2.0499999999999998</v>
      </c>
      <c r="E17" s="456">
        <f>IF(ISNUMBER(
   IF(D_I="SI",(Datos!L17-Datos!V17)/Datos!V17,(Datos!L17+Datos!AF17-(Datos!V17+Datos!AN17))/(Datos!V17+Datos!AN17))
     ),IF(D_I="SI",(Datos!L17-Datos!V17)/Datos!V17,(Datos!L17+Datos!AF17-(Datos!V17+Datos!AN17))/(Datos!V17+Datos!AN17))," - ")</f>
        <v>0.10526315789473684</v>
      </c>
      <c r="F17" s="456" t="str">
        <f>IF(ISNUMBER((Datos!M17-Datos!W17)/Datos!W17),(Datos!M17-Datos!W17)/Datos!W17," - ")</f>
        <v xml:space="preserve"> - </v>
      </c>
      <c r="G17" s="457">
        <f>IF(ISNUMBER((Datos!N17-Datos!X17)/Datos!X17),(Datos!N17-Datos!X17)/Datos!X17," - ")</f>
        <v>2.9166666666666665</v>
      </c>
      <c r="H17" s="455">
        <f>IF(ISNUMBER(((NºAsuntos!G17/NºAsuntos!E17)-Datos!BD17)/Datos!BD17),((NºAsuntos!G17/NºAsuntos!E17)-Datos!BD17)/Datos!BD17," - ")</f>
        <v>0.58854166666666652</v>
      </c>
      <c r="I17" s="456">
        <f>IF(ISNUMBER(((NºAsuntos!I17/NºAsuntos!G17)-Datos!BE17)/Datos!BE17),((NºAsuntos!I17/NºAsuntos!G17)-Datos!BE17)/Datos!BE17," - ")</f>
        <v>-0.63761863675582409</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-0.43673812526271538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0.1853035143769968</v>
      </c>
      <c r="C18" s="855">
        <f>IF(ISNUMBER(
   IF(Criterios!B14="SI",(Datos!J18-Datos!T18)/Datos!T18,(Datos!J18+Datos!AD18-(Datos!T18+Datos!AL18))/(Datos!T18+Datos!AL18))
     ),IF(Criterios!B14="SI",(Datos!J18-Datos!T18)/Datos!T18,(Datos!J18+Datos!AD18-(Datos!T18+Datos!AL18))/(Datos!T18+Datos!AL18))," - ")</f>
        <v>-1.2030075187969926E-2</v>
      </c>
      <c r="D18" s="855">
        <f>IF(ISNUMBER(
   IF(Criterios!B14="SI",(Datos!K18-Datos!U18)/Datos!U18,(Datos!K18+Datos!AE18-(Datos!U18+Datos!AM18))/(Datos!U18+Datos!AM18))
     ),IF(Criterios!B14="SI",(Datos!K18-Datos!U18)/Datos!U18,(Datos!K18+Datos!AE18-(Datos!U18+Datos!AM18))/(Datos!U18+Datos!AM18))," - ")</f>
        <v>0.32938856015779094</v>
      </c>
      <c r="E18" s="855">
        <f>IF(ISNUMBER(
   IF(Criterios!B14="SI",(Datos!L18-Datos!V18)/Datos!V18,(Datos!L18+Datos!AF18-(Datos!V18+Datos!AN18))/(Datos!V18+Datos!AN18))
     ),IF(Criterios!B14="SI",(Datos!L18-Datos!V18)/Datos!V18,(Datos!L18+Datos!AF18-(Datos!V18+Datos!AN18))/(Datos!V18+Datos!AN18))," - ")</f>
        <v>-3.5040431266846361E-2</v>
      </c>
      <c r="F18" s="856">
        <f>IF(ISNUMBER((Datos!M18-Datos!W18)/Datos!W18),(Datos!M18-Datos!W18)/Datos!W18," - ")</f>
        <v>7.6923076923076927E-2</v>
      </c>
      <c r="G18" s="857">
        <f>IF(ISNUMBER((Datos!N18-Datos!X18)/Datos!X18),(Datos!N18-Datos!X18)/Datos!X18," - ")</f>
        <v>0.26666666666666666</v>
      </c>
      <c r="H18" s="857">
        <f>IF(ISNUMBER(((NºAsuntos!G18/NºAsuntos!E18)-Datos!BD18)/Datos!BD18),((NºAsuntos!G18/NºAsuntos!E18)-Datos!BD18)/Datos!BD18," - ")</f>
        <v>0.34557593988573976</v>
      </c>
      <c r="I18" s="857">
        <f>IF(ISNUMBER(((NºAsuntos!I18/NºAsuntos!G18)-Datos!BE18)/Datos!BE18),((NºAsuntos!I18/NºAsuntos!G18)-Datos!BE18)/Datos!BE18," - ")</f>
        <v>-0.27413278731793927</v>
      </c>
      <c r="J18" s="857">
        <f>IF(ISNUMBER((('Resol  Asuntos'!D18/NºAsuntos!G18)-Datos!BF18)/Datos!BF18),(('Resol  Asuntos'!D18/NºAsuntos!G18)-Datos!BF18)/Datos!BF18," - ")</f>
        <v>-0.18991097922848654</v>
      </c>
      <c r="K18" s="857">
        <f>IF(ISNUMBER((((NºAsuntos!C18+NºAsuntos!E18)/NºAsuntos!G18)-Datos!BG18)/Datos!BG18),(((NºAsuntos!C18+NºAsuntos!E18)/NºAsuntos!G18)-Datos!BG18)/Datos!BG18," - ")</f>
        <v>-0.20931714332526261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-2.4660912453760789E-3</v>
      </c>
      <c r="C19" s="802">
        <f>IF(ISNUMBER(
   IF(J_V="SI",(Datos!J19-Datos!T19)/Datos!T19,(Datos!J19+Datos!Z19-(Datos!T19+Datos!AH19))/(Datos!T19+Datos!AH19))
     ),IF(J_V="SI",(Datos!J19-Datos!T19)/Datos!T19,(Datos!J19+Datos!Z19-(Datos!T19+Datos!AH19))/(Datos!T19+Datos!AH19))," - ")</f>
        <v>0.14106145251396648</v>
      </c>
      <c r="D19" s="802">
        <f>IF(ISNUMBER(
   IF(J_V="SI",(Datos!K19-Datos!U19)/Datos!U19,(Datos!K19+Datos!AA19-(Datos!U19+Datos!AI19))/(Datos!U19+Datos!AI19))
     ),IF(J_V="SI",(Datos!K19-Datos!U19)/Datos!U19,(Datos!K19+Datos!AA19-(Datos!U19+Datos!AI19))/(Datos!U19+Datos!AI19))," - ")</f>
        <v>0.38948233360723089</v>
      </c>
      <c r="E19" s="802">
        <f>IF(ISNUMBER(
   IF(J_V="SI",(Datos!L19-Datos!V19)/Datos!V19,(Datos!L19+Datos!AB19-(Datos!V19+Datos!AJ19))/(Datos!V19+Datos!AJ19))
     ),IF(J_V="SI",(Datos!L19-Datos!V19)/Datos!V19,(Datos!L19+Datos!AB19-(Datos!V19+Datos!AJ19))/(Datos!V19+Datos!AJ19))," - ")</f>
        <v>5.0679851668726822E-2</v>
      </c>
      <c r="F19" s="803">
        <f>IF(ISNUMBER((Datos!M19-Datos!W19)/Datos!W19),(Datos!M19-Datos!W19)/Datos!W19," - ")</f>
        <v>0.61417322834645671</v>
      </c>
      <c r="G19" s="804">
        <f>IF(ISNUMBER((Datos!N19-Datos!X19)/Datos!X19),(Datos!N19-Datos!X19)/Datos!X19," - ")</f>
        <v>0.4642857142857143</v>
      </c>
      <c r="H19" s="805">
        <f>IF(ISNUMBER((Tasas!B19-Datos!BD19)/Datos!BD19),(Tasas!B19-Datos!BD19)/Datos!BD19," - ")</f>
        <v>0.21771034377328932</v>
      </c>
      <c r="I19" s="806">
        <f>IF(ISNUMBER((Tasas!C19-Datos!BE19)/Datos!BE19),(Tasas!C19-Datos!BE19)/Datos!BE19," - ")</f>
        <v>-0.2438336017262917</v>
      </c>
      <c r="J19" s="807">
        <f>IF(ISNUMBER((Tasas!D19-Datos!BF19)/Datos!BF19),(Tasas!D19-Datos!BF19)/Datos!BF19," - ")</f>
        <v>0.23461891530103993</v>
      </c>
      <c r="K19" s="807">
        <f>IF(ISNUMBER((Tasas!E19-Datos!BG19)/Datos!BG19),(Tasas!E19-Datos!BG19)/Datos!BG19," - ")</f>
        <v>-0.21613519740632067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qEJ7pc0p9q9te1+MSTEvKfoHcaL7quAJeO7RaRGl+nNHp4VGt6/j1rXCp9ozQakLtEmLTEbLlXC65LbAdU+Uw==" saltValue="Cxc/xhzHRqTi4lzXTjDC3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SEGOVIA</v>
      </c>
    </row>
    <row r="4" spans="1:7" ht="11.25" customHeight="1" thickBot="1">
      <c r="B4" s="391" t="str">
        <f>Criterios!A11 &amp;"  "&amp;Criterios!B11</f>
        <v>Resumenes por Partidos Judiciales  SANTA MARIA LA REAL DE NIEVA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0.5</v>
      </c>
      <c r="D10" s="444">
        <f>IF(ISNUMBER('Resol  Asuntos'!D10/NºAsuntos!G10),'Resol  Asuntos'!D10/NºAsuntos!G10," - ")</f>
        <v>0</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1.0420944558521561</v>
      </c>
      <c r="C12" s="443">
        <f>IF(ISNUMBER(NºAsuntos!I12/NºAsuntos!G12),NºAsuntos!I12/NºAsuntos!G12," - ")</f>
        <v>0.483743842364532</v>
      </c>
      <c r="D12" s="444">
        <f>IF(ISNUMBER('Resol  Asuntos'!D12/NºAsuntos!G12),'Resol  Asuntos'!D12/NºAsuntos!G12," - ")</f>
        <v>0.33497536945812806</v>
      </c>
      <c r="E12" s="445">
        <f>IF(ISNUMBER((NºAsuntos!C12+NºAsuntos!E12)/NºAsuntos!G12),(NºAsuntos!C12+NºAsuntos!E12)/NºAsuntos!G12," - ")</f>
        <v>1.3911330049261084</v>
      </c>
      <c r="G12" s="463"/>
    </row>
    <row r="13" spans="1:7" ht="14.25" thickTop="1" thickBot="1">
      <c r="A13" s="848" t="str">
        <f>Datos!A13</f>
        <v>TOTAL</v>
      </c>
      <c r="B13" s="858">
        <f>IF(ISNUMBER(NºAsuntos!G13/NºAsuntos!E13),NºAsuntos!G13/NºAsuntos!E13," - ")</f>
        <v>1.0409416581371544</v>
      </c>
      <c r="C13" s="859">
        <f>IF(ISNUMBER(NºAsuntos!I13/NºAsuntos!G13),NºAsuntos!I13/NºAsuntos!G13," - ")</f>
        <v>0.48377581120943952</v>
      </c>
      <c r="D13" s="860">
        <f>IF(ISNUMBER('Resol  Asuntos'!D13/NºAsuntos!G13),'Resol  Asuntos'!D13/NºAsuntos!G13," - ")</f>
        <v>0.33431661750245822</v>
      </c>
      <c r="E13" s="861">
        <f>IF(ISNUMBER((NºAsuntos!C13+NºAsuntos!E13)/NºAsuntos!G13),(NºAsuntos!C13+NºAsuntos!E13)/NºAsuntos!G13," - ")</f>
        <v>1.391347099311701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1.006568144499179</v>
      </c>
      <c r="C16" s="443">
        <f>IF(ISNUMBER(NºAsuntos!I16/NºAsuntos!G16),NºAsuntos!I16/NºAsuntos!G16," - ")</f>
        <v>0.54975530179445353</v>
      </c>
      <c r="D16" s="444">
        <f>IF(ISNUMBER('Resol  Asuntos'!D16/NºAsuntos!G16),'Resol  Asuntos'!D16/NºAsuntos!G16," - ")</f>
        <v>0.11419249592169657</v>
      </c>
      <c r="E16" s="445">
        <f>IF(ISNUMBER((NºAsuntos!C16+NºAsuntos!E16)/NºAsuntos!G16),(NºAsuntos!C16+NºAsuntos!E16)/NºAsuntos!G16," - ")</f>
        <v>1.567699836867863</v>
      </c>
      <c r="G16" s="463"/>
    </row>
    <row r="17" spans="1:7" ht="13.5" thickBot="1">
      <c r="A17" s="402" t="str">
        <f>Datos!A17</f>
        <v>Jdos. Violencia contra la mujer</v>
      </c>
      <c r="B17" s="442">
        <f>IF(ISNUMBER(NºAsuntos!G17/NºAsuntos!E17),NºAsuntos!G17/NºAsuntos!E17," - ")</f>
        <v>1.2708333333333333</v>
      </c>
      <c r="C17" s="443">
        <f>IF(ISNUMBER(NºAsuntos!I17/NºAsuntos!G17),NºAsuntos!I17/NºAsuntos!G17," - ")</f>
        <v>0.34426229508196721</v>
      </c>
      <c r="D17" s="444">
        <f>IF(ISNUMBER('Resol  Asuntos'!D17/NºAsuntos!G17),'Resol  Asuntos'!D17/NºAsuntos!G17," - ")</f>
        <v>0</v>
      </c>
      <c r="E17" s="445">
        <f>IF(ISNUMBER((NºAsuntos!C17+NºAsuntos!E17)/NºAsuntos!G17),(NºAsuntos!C17+NºAsuntos!E17)/NºAsuntos!G17," - ")</f>
        <v>1.098360655737705</v>
      </c>
      <c r="G17" s="463"/>
    </row>
    <row r="18" spans="1:7" ht="14.25" thickTop="1" thickBot="1">
      <c r="A18" s="848" t="str">
        <f>Datos!A18</f>
        <v>TOTAL</v>
      </c>
      <c r="B18" s="858">
        <f>IF(ISNUMBER(NºAsuntos!G18/NºAsuntos!E18),NºAsuntos!G18/NºAsuntos!E18," - ")</f>
        <v>1.025875190258752</v>
      </c>
      <c r="C18" s="859">
        <f>IF(ISNUMBER(NºAsuntos!I18/NºAsuntos!G18),NºAsuntos!I18/NºAsuntos!G18," - ")</f>
        <v>0.53115727002967361</v>
      </c>
      <c r="D18" s="862">
        <f>IF(ISNUMBER('Resol  Asuntos'!D18/NºAsuntos!G18),'Resol  Asuntos'!D18/NºAsuntos!G18," - ")</f>
        <v>0.10385756676557864</v>
      </c>
      <c r="E18" s="861">
        <f>IF(ISNUMBER((NºAsuntos!C18+NºAsuntos!E18)/NºAsuntos!G18),(NºAsuntos!C18+NºAsuntos!E18)/NºAsuntos!G18," - ")</f>
        <v>1.5252225519287834</v>
      </c>
      <c r="G18" s="463"/>
    </row>
    <row r="19" spans="1:7" ht="15.75" customHeight="1" thickTop="1" thickBot="1">
      <c r="A19" s="793" t="str">
        <f>Datos!A19</f>
        <v>TOTAL JURISDICCIONES</v>
      </c>
      <c r="B19" s="808">
        <f>IF(ISNUMBER(NºAsuntos!G19/NºAsuntos!E19),NºAsuntos!G19/NºAsuntos!E19," - ")</f>
        <v>1.0348837209302326</v>
      </c>
      <c r="C19" s="809">
        <f>IF(ISNUMBER(NºAsuntos!I19/NºAsuntos!G19),NºAsuntos!I19/NºAsuntos!G19," - ")</f>
        <v>0.50266114725014788</v>
      </c>
      <c r="D19" s="810">
        <f>IF(ISNUMBER('Resol  Asuntos'!D19/NºAsuntos!G19),'Resol  Asuntos'!D19/NºAsuntos!G19," - ")</f>
        <v>0.24246008279124778</v>
      </c>
      <c r="E19" s="811">
        <f>IF(ISNUMBER((NºAsuntos!C19+NºAsuntos!E19)/NºAsuntos!G19),(NºAsuntos!C19+NºAsuntos!E19)/NºAsuntos!G19," - ")</f>
        <v>1.4447072738024838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S+mTXIwxjRC9kkNEAMXkdJ3n32fPKlmjTQQhYCLNLahSd+5YA9LJwt7e184a4O0tio+9aREjYdzitP3BRCHog==" saltValue="DwEbrxGq6TXsSBfqav3O/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SEGOVIA</v>
      </c>
      <c r="N2" s="262" t="str">
        <f>Criterios!A11 &amp;"  "&amp;Criterios!B11</f>
        <v>Resumenes por Partidos Judiciales  SANTA MARIA LA REAL DE NIEVA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5.5</v>
      </c>
      <c r="AN10" s="244">
        <f>IF(ISNUMBER('Resol  Asuntos'!D10/NºAsuntos!G10),'Resol  Asuntos'!D10/NºAsuntos!G10," - ")</f>
        <v>0</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94</v>
      </c>
      <c r="Y12" s="334">
        <f t="shared" si="0"/>
        <v>94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928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340</v>
      </c>
      <c r="AJ12" s="229" t="str">
        <f>IF(ISNUMBER(Datos!BW12),Datos!BW12," - ")</f>
        <v xml:space="preserve"> - </v>
      </c>
      <c r="AK12" s="228" t="str">
        <f>IF(ISNUMBER(Datos!BX12),Datos!BX12," - ")</f>
        <v xml:space="preserve"> - </v>
      </c>
      <c r="AL12" s="243">
        <f>IF(ISNUMBER(NºAsuntos!G12/NºAsuntos!E12),NºAsuntos!G12/NºAsuntos!E12," - ")</f>
        <v>1.0420944558521561</v>
      </c>
      <c r="AM12" s="260">
        <f>IF(ISNUMBER(((NºAsuntos!I12/NºAsuntos!G12)*11)/factor_trimestre),((NºAsuntos!I12/NºAsuntos!G12)*11)/factor_trimestre," - ")</f>
        <v>5.3211822660098518</v>
      </c>
      <c r="AN12" s="244">
        <f>IF(ISNUMBER('Resol  Asuntos'!D12/NºAsuntos!G12),'Resol  Asuntos'!D12/NºAsuntos!G12," - ")</f>
        <v>0.33497536945812806</v>
      </c>
      <c r="AO12" s="245">
        <f>IF(ISNUMBER((NºAsuntos!C12+NºAsuntos!E12)/NºAsuntos!G12),(NºAsuntos!C12+NºAsuntos!E12)/NºAsuntos!G12," - ")</f>
        <v>1.3911330049261084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204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94</v>
      </c>
      <c r="Y13" s="868">
        <f t="shared" si="4"/>
        <v>96</v>
      </c>
      <c r="Z13" s="868">
        <f t="shared" si="4"/>
        <v>0</v>
      </c>
      <c r="AA13" s="868">
        <f t="shared" si="4"/>
        <v>1</v>
      </c>
      <c r="AB13" s="868">
        <f t="shared" si="4"/>
        <v>928</v>
      </c>
      <c r="AC13" s="868">
        <f t="shared" si="4"/>
        <v>1</v>
      </c>
      <c r="AD13" s="868">
        <f t="shared" si="4"/>
        <v>0</v>
      </c>
      <c r="AE13" s="872">
        <f t="shared" si="4"/>
        <v>0</v>
      </c>
      <c r="AF13" s="865">
        <f t="shared" si="4"/>
        <v>0</v>
      </c>
      <c r="AG13" s="873">
        <f t="shared" si="4"/>
        <v>0</v>
      </c>
      <c r="AH13" s="870">
        <f t="shared" si="4"/>
        <v>0</v>
      </c>
      <c r="AI13" s="865">
        <f t="shared" si="4"/>
        <v>340</v>
      </c>
      <c r="AJ13" s="867">
        <f t="shared" si="4"/>
        <v>0</v>
      </c>
      <c r="AK13" s="870">
        <f>SUBTOTAL(9,AK9:AK12)</f>
        <v>0</v>
      </c>
      <c r="AL13" s="874">
        <f>IF(ISNUMBER(NºAsuntos!G13/NºAsuntos!E13),NºAsuntos!G13/NºAsuntos!E13," - ")</f>
        <v>1.0409416581371544</v>
      </c>
      <c r="AM13" s="874">
        <f>IF(ISNUMBER(((NºAsuntos!I13/NºAsuntos!G13)*11)/factor_trimestre),((NºAsuntos!I13/NºAsuntos!G13)*11)/factor_trimestre," - ")</f>
        <v>5.3215339233038348</v>
      </c>
      <c r="AN13" s="875">
        <f>IF(ISNUMBER('Resol  Asuntos'!D13/NºAsuntos!G13),'Resol  Asuntos'!D13/NºAsuntos!G13," - ")</f>
        <v>0.33431661750245822</v>
      </c>
      <c r="AO13" s="876">
        <f>IF(ISNUMBER((NºAsuntos!C13+NºAsuntos!E13)/NºAsuntos!G13),(NºAsuntos!C13+NºAsuntos!E13)/NºAsuntos!G13," - ")</f>
        <v>1.391347099311701</v>
      </c>
      <c r="AP13" s="877" t="str">
        <f t="shared" si="2"/>
        <v xml:space="preserve"> - </v>
      </c>
      <c r="AQ13" s="877" t="str">
        <f>IF(ISNUMBER((H13-W13+K13)/(F13)),(H13-W13+K13)/(F13)," - ")</f>
        <v xml:space="preserve"> - </v>
      </c>
      <c r="AR13" s="878">
        <f>IF(ISNUMBER((Datos!P13-Datos!Q13)/(Datos!R13-Datos!P13+Datos!Q13)),(Datos!P13-Datos!Q13)/(Datos!R13-Datos!P13+Datos!Q13)," - ")</f>
        <v>0.13447432762836187</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341</v>
      </c>
      <c r="G16" s="333">
        <f>IF(ISNUMBER(IF(D_I="SI",Datos!I16,Datos!I16+Datos!AC16)),IF(D_I="SI",Datos!I16,Datos!I16+Datos!AC16)," - ")</f>
        <v>352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613</v>
      </c>
      <c r="X16" s="226">
        <f>IF(ISNUMBER(Datos!Q16),Datos!Q16," - ")</f>
        <v>11</v>
      </c>
      <c r="Y16" s="334">
        <f t="shared" ref="Y16:Y17" si="7">SUM(W16:X16)</f>
        <v>624</v>
      </c>
      <c r="Z16" s="335" t="str">
        <f>IF(ISNUMBER(Datos!CC16),Datos!CC16," - ")</f>
        <v xml:space="preserve"> - </v>
      </c>
      <c r="AA16" s="332">
        <f>IF(ISNUMBER(IF(D_I="SI",Datos!L16,Datos!L16+Datos!AF16)),IF(D_I="SI",Datos!L16,Datos!L16+Datos!AF16)," - ")</f>
        <v>337</v>
      </c>
      <c r="AB16" s="334">
        <f>IF(ISNUMBER(Datos!R16),Datos!R16," - ")</f>
        <v>31</v>
      </c>
      <c r="AC16" s="334">
        <f t="shared" si="6"/>
        <v>368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70</v>
      </c>
      <c r="AJ16" s="231" t="str">
        <f>IF(ISNUMBER(Datos!BW16),Datos!BW16," - ")</f>
        <v xml:space="preserve"> - </v>
      </c>
      <c r="AK16" s="232" t="str">
        <f>IF(ISNUMBER(Datos!BX16),Datos!BX16," - ")</f>
        <v xml:space="preserve"> - </v>
      </c>
      <c r="AL16" s="243">
        <f>IF(ISNUMBER(NºAsuntos!G16/NºAsuntos!E16),NºAsuntos!G16/NºAsuntos!E16," - ")</f>
        <v>1.006568144499179</v>
      </c>
      <c r="AM16" s="260">
        <f>IF(ISNUMBER(((NºAsuntos!I16/NºAsuntos!G16)*11)/factor_trimestre),((NºAsuntos!I16/NºAsuntos!G16)*11)/factor_trimestre," - ")</f>
        <v>6.0473083197389892</v>
      </c>
      <c r="AN16" s="244">
        <f>IF(ISNUMBER('Resol  Asuntos'!D16/NºAsuntos!G16),'Resol  Asuntos'!D16/NºAsuntos!G16," - ")</f>
        <v>0.11419249592169657</v>
      </c>
      <c r="AO16" s="245">
        <f>IF(ISNUMBER((NºAsuntos!C16+NºAsuntos!E16)/NºAsuntos!G16),(NºAsuntos!C16+NºAsuntos!E16)/NºAsuntos!G16," - ")</f>
        <v>1.567699836867863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61</v>
      </c>
      <c r="X17" s="226">
        <f>IF(ISNUMBER(Datos!Q17),Datos!Q17," - ")</f>
        <v>0</v>
      </c>
      <c r="Y17" s="334">
        <f t="shared" si="7"/>
        <v>61</v>
      </c>
      <c r="Z17" s="335" t="str">
        <f>IF(ISNUMBER(Datos!CC17),Datos!CC17," - ")</f>
        <v xml:space="preserve"> - </v>
      </c>
      <c r="AA17" s="332">
        <f>IF(ISNUMBER(Datos!L17),Datos!L17,"-")</f>
        <v>21</v>
      </c>
      <c r="AB17" s="334">
        <f>IF(ISNUMBER(Datos!R17),Datos!R17," - ")</f>
        <v>0</v>
      </c>
      <c r="AC17" s="334">
        <f t="shared" si="6"/>
        <v>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1.2708333333333333</v>
      </c>
      <c r="AM17" s="260">
        <f>IF(ISNUMBER(((NºAsuntos!I17/NºAsuntos!G17)*11)/factor_trimestre),((NºAsuntos!I17/NºAsuntos!G17)*11)/factor_trimestre," - ")</f>
        <v>3.7868852459016393</v>
      </c>
      <c r="AN17" s="244">
        <f>IF(ISNUMBER('Resol  Asuntos'!D17/NºAsuntos!G17),'Resol  Asuntos'!D17/NºAsuntos!G17," - ")</f>
        <v>0</v>
      </c>
      <c r="AO17" s="245">
        <f>IF(ISNUMBER((NºAsuntos!C17+NºAsuntos!E17)/NºAsuntos!G17),(NºAsuntos!C17+NºAsuntos!E17)/NºAsuntos!G17," - ")</f>
        <v>1.098360655737705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341</v>
      </c>
      <c r="G18" s="866">
        <f>SUBTOTAL(9,G15:G17)</f>
        <v>371</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674</v>
      </c>
      <c r="X18" s="867">
        <f t="shared" si="11"/>
        <v>11</v>
      </c>
      <c r="Y18" s="868">
        <f t="shared" si="11"/>
        <v>685</v>
      </c>
      <c r="Z18" s="868">
        <f t="shared" si="11"/>
        <v>0</v>
      </c>
      <c r="AA18" s="868">
        <f t="shared" si="11"/>
        <v>358</v>
      </c>
      <c r="AB18" s="868">
        <f t="shared" si="11"/>
        <v>31</v>
      </c>
      <c r="AC18" s="868">
        <f t="shared" si="11"/>
        <v>389</v>
      </c>
      <c r="AD18" s="868">
        <f t="shared" si="11"/>
        <v>0</v>
      </c>
      <c r="AE18" s="872">
        <f t="shared" si="11"/>
        <v>0</v>
      </c>
      <c r="AF18" s="865">
        <f t="shared" si="11"/>
        <v>0</v>
      </c>
      <c r="AG18" s="873">
        <f t="shared" si="11"/>
        <v>0</v>
      </c>
      <c r="AH18" s="870">
        <f t="shared" si="11"/>
        <v>0</v>
      </c>
      <c r="AI18" s="865">
        <f t="shared" si="11"/>
        <v>70</v>
      </c>
      <c r="AJ18" s="867">
        <f t="shared" si="11"/>
        <v>0</v>
      </c>
      <c r="AK18" s="870">
        <f t="shared" si="11"/>
        <v>0</v>
      </c>
      <c r="AL18" s="874">
        <f>IF(ISNUMBER(NºAsuntos!G18/NºAsuntos!E18),NºAsuntos!G18/NºAsuntos!E18," - ")</f>
        <v>1.025875190258752</v>
      </c>
      <c r="AM18" s="874">
        <f>IF(ISNUMBER(((NºAsuntos!I18/NºAsuntos!G18)*11)/factor_trimestre),((NºAsuntos!I18/NºAsuntos!G18)*11)/factor_trimestre," - ")</f>
        <v>5.8427299703264097</v>
      </c>
      <c r="AN18" s="875">
        <f>IF(ISNUMBER('Resol  Asuntos'!D18/NºAsuntos!G18),'Resol  Asuntos'!D18/NºAsuntos!G18," - ")</f>
        <v>0.10385756676557864</v>
      </c>
      <c r="AO18" s="876">
        <f>IF(ISNUMBER((NºAsuntos!C18+NºAsuntos!E18)/NºAsuntos!G18),(NºAsuntos!C18+NºAsuntos!E18)/NºAsuntos!G18," - ")</f>
        <v>1.5252225519287834</v>
      </c>
      <c r="AP18" s="877" t="str">
        <f t="shared" si="2"/>
        <v xml:space="preserve"> - </v>
      </c>
      <c r="AQ18" s="877">
        <f>IF(ISNUMBER((H18-W18+K18)/(F18)),(H18-W18+K18)/(F18)," - ")</f>
        <v>-1.9765395894428153</v>
      </c>
      <c r="AR18" s="878">
        <f>IF(ISNUMBER((Datos!P18-Datos!Q18)/(Datos!R18-Datos!P18+Datos!Q18)),(Datos!P18-Datos!Q18)/(Datos!R18-Datos!P18+Datos!Q18)," - ")</f>
        <v>-6.0606060606060608E-2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341</v>
      </c>
      <c r="G19" s="821">
        <f t="shared" si="13"/>
        <v>371</v>
      </c>
      <c r="H19" s="820">
        <f t="shared" si="13"/>
        <v>0</v>
      </c>
      <c r="I19" s="822">
        <f t="shared" si="13"/>
        <v>0</v>
      </c>
      <c r="J19" s="822">
        <f t="shared" si="13"/>
        <v>0</v>
      </c>
      <c r="K19" s="881">
        <f t="shared" si="13"/>
        <v>0</v>
      </c>
      <c r="L19" s="822">
        <f t="shared" si="13"/>
        <v>213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676</v>
      </c>
      <c r="X19" s="821">
        <f t="shared" si="14"/>
        <v>105</v>
      </c>
      <c r="Y19" s="828">
        <f t="shared" si="14"/>
        <v>781</v>
      </c>
      <c r="Z19" s="828">
        <f t="shared" si="14"/>
        <v>0</v>
      </c>
      <c r="AA19" s="828">
        <f t="shared" si="14"/>
        <v>359</v>
      </c>
      <c r="AB19" s="828">
        <f t="shared" si="14"/>
        <v>959</v>
      </c>
      <c r="AC19" s="828">
        <f t="shared" si="14"/>
        <v>390</v>
      </c>
      <c r="AD19" s="828">
        <f t="shared" si="14"/>
        <v>0</v>
      </c>
      <c r="AE19" s="830">
        <f t="shared" si="14"/>
        <v>0</v>
      </c>
      <c r="AF19" s="831">
        <f t="shared" si="14"/>
        <v>0</v>
      </c>
      <c r="AG19" s="832">
        <f t="shared" si="14"/>
        <v>0</v>
      </c>
      <c r="AH19" s="830">
        <f t="shared" si="14"/>
        <v>0</v>
      </c>
      <c r="AI19" s="820">
        <f t="shared" si="14"/>
        <v>410</v>
      </c>
      <c r="AJ19" s="820">
        <f t="shared" si="14"/>
        <v>0</v>
      </c>
      <c r="AK19" s="830">
        <f t="shared" si="14"/>
        <v>0</v>
      </c>
      <c r="AL19" s="884">
        <f>IF(ISNUMBER(NºAsuntos!G19/NºAsuntos!E19),NºAsuntos!G19/NºAsuntos!E19," - ")</f>
        <v>1.0348837209302326</v>
      </c>
      <c r="AM19" s="885">
        <f>IF(ISNUMBER(((NºAsuntos!I19/NºAsuntos!G19)*11)/factor_trimestre),((NºAsuntos!I19/NºAsuntos!G19)*11)/factor_trimestre," - ")</f>
        <v>5.5292726197516266</v>
      </c>
      <c r="AN19" s="885">
        <f>IF(ISNUMBER('Resol  Asuntos'!D19/NºAsuntos!G19),'Resol  Asuntos'!D19/NºAsuntos!G19," - ")</f>
        <v>0.24246008279124778</v>
      </c>
      <c r="AO19" s="886">
        <f>IF(ISNUMBER((NºAsuntos!C19+NºAsuntos!E19)/NºAsuntos!G19),(NºAsuntos!C19+NºAsuntos!E19)/NºAsuntos!G19," - ")</f>
        <v>1.4447072738024838</v>
      </c>
      <c r="AP19" s="887" t="str">
        <f t="shared" si="2"/>
        <v xml:space="preserve"> - </v>
      </c>
      <c r="AQ19" s="888">
        <f>IF(OR(ISNUMBER(FIND("01",Criterios!A8,1)),ISNUMBER(FIND("02",Criterios!A8,1)),ISNUMBER(FIND("03",Criterios!A8,1)),ISNUMBER(FIND("04",Criterios!A8,1))),(I19-W19+K19)/(F19-K19),(H19-W19+K19)/(F19-K19))</f>
        <v>-1.9824046920821115</v>
      </c>
      <c r="AR19" s="889">
        <f>IF(ISNUMBER((Datos!P19-Datos!Q19)/(Datos!R19-Datos!P19+Datos!Q19)),(Datos!P19-Datos!Q19)/(Datos!R19-Datos!P19+Datos!Q19)," - ")</f>
        <v>0.12690951821386603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196.87644179366239</v>
      </c>
      <c r="G21" s="253">
        <f>IF(ISNUMBER(STDEV(G8:G18)),STDEV(G8:G18),"-")</f>
        <v>194.80323405939646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342.12322341519001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160.58227382456218</v>
      </c>
      <c r="AJ21" s="252">
        <f t="shared" si="18"/>
        <v>0</v>
      </c>
      <c r="AK21" s="254">
        <f t="shared" si="18"/>
        <v>0</v>
      </c>
      <c r="AL21" s="249">
        <f t="shared" si="18"/>
        <v>0.19398702558069478</v>
      </c>
      <c r="AM21" s="250">
        <f t="shared" si="18"/>
        <v>0.79792103823495131</v>
      </c>
      <c r="AN21" s="250">
        <f t="shared" si="18"/>
        <v>0.15269125733691696</v>
      </c>
      <c r="AO21" s="251">
        <f t="shared" si="18"/>
        <v>0.16972735749423851</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t2KhhtDJq55eYA8wlPuYJTFT8niqFJfgVX3iHHBQ5iDf8txiNXP9Lb2t2c9ZiC9CMgblXXIgBrpvIBqch5CRgw==" saltValue="csBmroBf8sl5PUJIyyWIR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SEGOVIA</v>
      </c>
      <c r="E3" s="263"/>
    </row>
    <row r="4" spans="2:20" ht="17.25" customHeight="1" thickBot="1">
      <c r="D4" s="262" t="str">
        <f>Criterios!A11 &amp;"  "&amp;Criterios!B11</f>
        <v>Resumenes por Partidos Judiciales  SANTA MARIA LA REAL DE NIEVA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-0.5</v>
      </c>
      <c r="F10" s="348">
        <f>IF(ISNUMBER((Datos!K10-Datos!U10)/Datos!U10),(Datos!K10-Datos!U10)/Datos!U10," - ")</f>
        <v>-0.7142857142857143</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f>IF(ISNUMBER((Tasas!E10-Datos!BG10)/Datos!BG10),(Tasas!E10-Datos!BG10)/Datos!BG10," - ")</f>
        <v>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0.79894179894179895</v>
      </c>
      <c r="I12" s="350">
        <f>IF(ISNUMBER((Tasas!C12-Datos!BE12)/Datos!BE12),(Tasas!C12-Datos!BE12)/Datos!BE12," - ")</f>
        <v>-0.22358008862496354</v>
      </c>
      <c r="J12" s="349">
        <f>IF(ISNUMBER((Tasas!D12-Datos!BF12)/Datos!BF12),(Tasas!D12-Datos!BF12)/Datos!BF12," - ")</f>
        <v>0.35337749844289668</v>
      </c>
      <c r="K12" s="351">
        <f>IF(ISNUMBER((Tasas!E12-Datos!BG12)/Datos!BG12),(Tasas!E12-Datos!BG12)/Datos!BG12," - ")</f>
        <v>-0.22260214430599828</v>
      </c>
      <c r="M12" t="e">
        <f>IF(Monitorios="SI",Datos!CE12,0)</f>
        <v>#REF!</v>
      </c>
      <c r="N12" t="e">
        <f>IF(Monitorios="SI",Datos!CF12,0)</f>
        <v>#REF!</v>
      </c>
      <c r="O12" t="e">
        <f>IF(Monitorios="SI",Datos!CG12,0)</f>
        <v>#REF!</v>
      </c>
      <c r="P12" t="e">
        <f>IF(Monitorios="SI",Datos!CH12,0)</f>
        <v>#REF!</v>
      </c>
      <c r="Q12">
        <f>IF(J_V="SI",0,Datos!AG12)</f>
        <v>29</v>
      </c>
      <c r="R12">
        <f>IF(J_V="SI",0,Datos!AH12)</f>
        <v>71</v>
      </c>
      <c r="S12">
        <f>IF(J_V="SI",0,Datos!AI12)</f>
        <v>97</v>
      </c>
      <c r="T12">
        <f>IF(J_V="SI",0,Datos!AJ12)</f>
        <v>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0.79894179894179895</v>
      </c>
      <c r="I13" s="357">
        <f>IF(ISNUMBER((Tasas!C13-Datos!BE13)/Datos!BE13),(Tasas!C13-Datos!BE13)/Datos!BE13," - ")</f>
        <v>-0.2157972010075295</v>
      </c>
      <c r="J13" s="355">
        <f>IF(ISNUMBER((Tasas!D13-Datos!BF13)/Datos!BF13),(Tasas!D13-Datos!BF13)/Datos!BF13," - ")</f>
        <v>0.36416550819968579</v>
      </c>
      <c r="K13" s="358">
        <f>IF(ISNUMBER((Tasas!E13-Datos!BG13)/Datos!BG13),(Tasas!E13-Datos!BG13)/Datos!BG13," - ")</f>
        <v>-0.2190858177776224</v>
      </c>
      <c r="M13" t="e">
        <f>IF(Monitorios="SI",Datos!CE13,0)</f>
        <v>#REF!</v>
      </c>
      <c r="N13" t="e">
        <f>IF(Monitorios="SI",Datos!CF13,0)</f>
        <v>#REF!</v>
      </c>
      <c r="O13" t="e">
        <f>IF(Monitorios="SI",Datos!CG13,0)</f>
        <v>#REF!</v>
      </c>
      <c r="P13" t="e">
        <f>IF(Monitorios="SI",Datos!CH13,0)</f>
        <v>#REF!</v>
      </c>
      <c r="Q13">
        <f>IF(J_V="SI",0,Datos!AG13)</f>
        <v>29</v>
      </c>
      <c r="R13">
        <f>IF(J_V="SI",0,Datos!AH13)</f>
        <v>71</v>
      </c>
      <c r="S13">
        <f>IF(J_V="SI",0,Datos!AI13)</f>
        <v>97</v>
      </c>
      <c r="T13">
        <f>IF(J_V="SI",0,Datos!AJ13)</f>
        <v>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0.17725752508361203</v>
      </c>
      <c r="E16" s="348">
        <f>IF(ISNUMBER(
   IF(D_I="SI",(Datos!J16-Datos!T16)/Datos!T16,(Datos!J16+Datos!AD16-(Datos!T16+Datos!AL16))/(Datos!T16+Datos!AL16))
     ),IF(D_I="SI",(Datos!J16-Datos!T16)/Datos!T16,(Datos!J16+Datos!AD16-(Datos!T16+Datos!AL16))/(Datos!T16+Datos!AL16))," - ")</f>
        <v>-4.8437500000000001E-2</v>
      </c>
      <c r="F16" s="348">
        <f>IF(ISNUMBER(
   IF(D_I="SI",(Datos!K16-Datos!U16)/Datos!U16,(Datos!K16+Datos!AE16-(Datos!U16+Datos!AM16))/(Datos!U16+Datos!AM16))
     ),IF(D_I="SI",(Datos!K16-Datos!U16)/Datos!U16,(Datos!K16+Datos!AE16-(Datos!U16+Datos!AM16))/(Datos!U16+Datos!AM16))," - ")</f>
        <v>0.25872689938398358</v>
      </c>
      <c r="G16" s="349">
        <f>IF(ISNUMBER(
   IF(D_I="SI",(Datos!L16-Datos!V16)/Datos!V16,(Datos!L16+Datos!AF16-(Datos!V16+Datos!AN16))/(Datos!V16+Datos!AN16))
     ),IF(D_I="SI",(Datos!L16-Datos!V16)/Datos!V16,(Datos!L16+Datos!AF16-(Datos!V16+Datos!AN16))/(Datos!V16+Datos!AN16))," - ")</f>
        <v>-4.261363636363636E-2</v>
      </c>
      <c r="H16" s="230">
        <f>IF(ISNUMBER((Datos!M16-Datos!W16)/Datos!W16),(Datos!M16-Datos!W16)/Datos!W16," - ")</f>
        <v>7.6923076923076927E-2</v>
      </c>
      <c r="I16" s="350">
        <f>IF(ISNUMBER((Tasas!C16-Datos!BE16)/Datos!BE16),(Tasas!C16-Datos!BE16)/Datos!BE16," - ")</f>
        <v>-0.23940104552869645</v>
      </c>
      <c r="J16" s="349">
        <f>IF(ISNUMBER((Tasas!D16-Datos!BF16)/Datos!BF16),(Tasas!D16-Datos!BF16)/Datos!BF16," - ")</f>
        <v>-0.14443468440205803</v>
      </c>
      <c r="K16" s="351">
        <f>IF(ISNUMBER((Tasas!E16-Datos!BG16)/Datos!BG16),(Tasas!E16-Datos!BG16)/Datos!BG16," - ")</f>
        <v>-0.18693309845085276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0.35714285714285715</v>
      </c>
      <c r="E17" s="348">
        <f>IF(ISNUMBER(
   IF(D_I="SI",(Datos!J17-Datos!T17)/Datos!T17,(Datos!J17+Datos!AD17-(Datos!T17+Datos!AL17))/(Datos!T17+Datos!AL17))
     ),IF(D_I="SI",(Datos!J17-Datos!T17)/Datos!T17,(Datos!J17+Datos!AD17-(Datos!T17+Datos!AL17))/(Datos!T17+Datos!AL17))," - ")</f>
        <v>0.92</v>
      </c>
      <c r="F17" s="348">
        <f>IF(ISNUMBER(
   IF(D_I="SI",(Datos!K17-Datos!U17)/Datos!U17,(Datos!K17+Datos!AE17-(Datos!U17+Datos!AM17))/(Datos!U17+Datos!AM17))
     ),IF(D_I="SI",(Datos!K17-Datos!U17)/Datos!U17,(Datos!K17+Datos!AE17-(Datos!U17+Datos!AM17))/(Datos!U17+Datos!AM17))," - ")</f>
        <v>2.0499999999999998</v>
      </c>
      <c r="G17" s="349">
        <f>IF(ISNUMBER(
   IF(D_I="SI",(Datos!L17-Datos!V17)/Datos!V17,(Datos!L17+Datos!AF17-(Datos!V17+Datos!AN17))/(Datos!V17+Datos!AN17))
     ),IF(D_I="SI",(Datos!L17-Datos!V17)/Datos!V17,(Datos!L17+Datos!AF17-(Datos!V17+Datos!AN17))/(Datos!V17+Datos!AN17))," - ")</f>
        <v>0.10526315789473684</v>
      </c>
      <c r="H17" s="230" t="str">
        <f>IF(ISNUMBER((Datos!M17-Datos!W17)/Datos!W17),(Datos!M17-Datos!W17)/Datos!W17," - ")</f>
        <v xml:space="preserve"> - </v>
      </c>
      <c r="I17" s="350">
        <f>IF(ISNUMBER((Tasas!C17-Datos!BE17)/Datos!BE17),(Tasas!C17-Datos!BE17)/Datos!BE17," - ")</f>
        <v>-0.63761863675582409</v>
      </c>
      <c r="J17" s="349" t="str">
        <f>IF(ISNUMBER((Tasas!D17-Datos!BF17)/Datos!BF17),(Tasas!D17-Datos!BF17)/Datos!BF17," - ")</f>
        <v xml:space="preserve"> - </v>
      </c>
      <c r="K17" s="351">
        <f>IF(ISNUMBER((Tasas!E17-Datos!BG17)/Datos!BG17),(Tasas!E17-Datos!BG17)/Datos!BG17," - ")</f>
        <v>-0.43673812526271538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0.1853035143769968</v>
      </c>
      <c r="E18" s="354">
        <f>IF(ISNUMBER(
   IF(D_I="SI",(Datos!J18-Datos!T18)/Datos!T18,(Datos!J18+Datos!AD18-(Datos!T18+Datos!AL18))/(Datos!T18+Datos!AL18))
     ),IF(D_I="SI",(Datos!J18-Datos!T18)/Datos!T18,(Datos!J18+Datos!AD18-(Datos!T18+Datos!AL18))/(Datos!T18+Datos!AL18))," - ")</f>
        <v>-1.2030075187969926E-2</v>
      </c>
      <c r="F18" s="354">
        <f>IF(ISNUMBER(
   IF(D_I="SI",(Datos!K18-Datos!U18)/Datos!U18,(Datos!K18+Datos!AE18-(Datos!U18+Datos!AM18))/(Datos!U18+Datos!AM18))
     ),IF(D_I="SI",(Datos!K18-Datos!U18)/Datos!U18,(Datos!K18+Datos!AE18-(Datos!U18+Datos!AM18))/(Datos!U18+Datos!AM18))," - ")</f>
        <v>0.32938856015779094</v>
      </c>
      <c r="G18" s="355">
        <f>IF(ISNUMBER(
   IF(D_I="SI",(Datos!L18-Datos!V18)/Datos!V18,(Datos!L18+Datos!AF18-(Datos!V18+Datos!AN18))/(Datos!V18+Datos!AN18))
     ),IF(D_I="SI",(Datos!L18-Datos!V18)/Datos!V18,(Datos!L18+Datos!AF18-(Datos!V18+Datos!AN18))/(Datos!V18+Datos!AN18))," - ")</f>
        <v>-3.5040431266846361E-2</v>
      </c>
      <c r="H18" s="356">
        <f>IF(ISNUMBER((Datos!M18-Datos!W18)/Datos!W18),(Datos!M18-Datos!W18)/Datos!W18," - ")</f>
        <v>7.6923076923076927E-2</v>
      </c>
      <c r="I18" s="357">
        <f>IF(ISNUMBER((Tasas!C18-Datos!BE18)/Datos!BE18),(Tasas!C18-Datos!BE18)/Datos!BE18," - ")</f>
        <v>-0.27413278731793927</v>
      </c>
      <c r="J18" s="355">
        <f>IF(ISNUMBER((Tasas!D18-Datos!BF18)/Datos!BF18),(Tasas!D18-Datos!BF18)/Datos!BF18," - ")</f>
        <v>-0.18991097922848654</v>
      </c>
      <c r="K18" s="358">
        <f>IF(ISNUMBER((Tasas!E18-Datos!BG18)/Datos!BG18),(Tasas!E18-Datos!BG18)/Datos!BG18," - ")</f>
        <v>-0.20931714332526261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-2.4660912453760789E-3</v>
      </c>
      <c r="E19" s="363">
        <f>IF(ISNUMBER(
   IF(J_V="SI",(Datos!J19-Datos!T19)/Datos!T19,(Datos!J19+Datos!Z19-(Datos!T19+Datos!AH19))/(Datos!T19+Datos!AH19))
     ),IF(J_V="SI",(Datos!J19-Datos!T19)/Datos!T19,(Datos!J19+Datos!Z19-(Datos!T19+Datos!AH19))/(Datos!T19+Datos!AH19))," - ")</f>
        <v>0.14106145251396648</v>
      </c>
      <c r="F19" s="363">
        <f>IF(ISNUMBER(
   IF(J_V="SI",(Datos!K19-Datos!U19)/Datos!U19,(Datos!K19+Datos!AA19-(Datos!U19+Datos!AI19))/(Datos!U19+Datos!AI19))
     ),IF(J_V="SI",(Datos!K19-Datos!U19)/Datos!U19,(Datos!K19+Datos!AA19-(Datos!U19+Datos!AI19))/(Datos!U19+Datos!AI19))," - ")</f>
        <v>0.38948233360723089</v>
      </c>
      <c r="G19" s="364">
        <f>IF(ISNUMBER(
   IF(J_V="SI",(Datos!L19-Datos!V19)/Datos!V19,(Datos!L19+Datos!AB19-(Datos!V19+Datos!AJ19))/(Datos!V19+Datos!AJ19))
     ),IF(J_V="SI",(Datos!L19-Datos!V19)/Datos!V19,(Datos!L19+Datos!AB19-(Datos!V19+Datos!AJ19))/(Datos!V19+Datos!AJ19))," - ")</f>
        <v>5.0679851668726822E-2</v>
      </c>
      <c r="H19" s="365">
        <f>IF(ISNUMBER((Datos!M19-Datos!W19)/Datos!W19),(Datos!M19-Datos!W19)/Datos!W19," - ")</f>
        <v>0.61417322834645671</v>
      </c>
      <c r="I19" s="362">
        <f>IF(ISNUMBER((Tasas!C19-Datos!BE19)/Datos!BE19),(Tasas!C19-Datos!BE19)/Datos!BE19," - ")</f>
        <v>-0.2438336017262917</v>
      </c>
      <c r="J19" s="363">
        <f>IF(ISNUMBER((Tasas!D19-Datos!BF19)/Datos!BF19),(Tasas!D19-Datos!BF19)/Datos!BF19," - ")</f>
        <v>0.23461891530103993</v>
      </c>
      <c r="K19" s="364">
        <f>IF(ISNUMBER((Tasas!E19-Datos!BG19)/Datos!BG19),(Tasas!E19-Datos!BG19)/Datos!BG19," - ")</f>
        <v>-0.21613519740632067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0.62547772852771677</v>
      </c>
      <c r="E21" s="278">
        <f t="shared" si="1"/>
        <v>0.59625917826408159</v>
      </c>
      <c r="F21" s="278">
        <f t="shared" si="1"/>
        <v>1.1493273817726792</v>
      </c>
      <c r="G21" s="279">
        <f t="shared" si="1"/>
        <v>8.3276644231934968E-2</v>
      </c>
      <c r="H21" s="285">
        <f t="shared" si="1"/>
        <v>0.41685770351745877</v>
      </c>
      <c r="I21" s="277">
        <f t="shared" si="1"/>
        <v>0.18001296940159767</v>
      </c>
      <c r="J21" s="278">
        <f t="shared" si="1"/>
        <v>0.30425300926206583</v>
      </c>
      <c r="K21" s="279">
        <f t="shared" si="1"/>
        <v>0.32156728095213749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qYx2Y/RFm9kPAIgzUYZxH8vN4R+QBpPYR+FZ6H4xgdey2GYLjGnXTnxzPP7teRvLM8fHqNd25LRIFWXU0NpWA==" saltValue="uxtmQO1eCCcPV5ncczEET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3</v>
      </c>
      <c r="F10" s="226">
        <f>IF(ISNUMBER(Datos!K10),Datos!K10," - ")</f>
        <v>2</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5.3211822660098518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3</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341</v>
      </c>
      <c r="D16" s="225">
        <f>IF(ISNUMBER(IF(D_I="SI",Datos!I16,Datos!I16+Datos!AC16)),IF(D_I="SI",Datos!I16,Datos!I16+Datos!AC16)," - ")</f>
        <v>352</v>
      </c>
      <c r="E16" s="226">
        <f>IF(ISNUMBER(IF(D_I="SI",Datos!J16,Datos!J16+Datos!AD16)),IF(D_I="SI",Datos!J16,Datos!J16+Datos!AD16)," - ")</f>
        <v>609</v>
      </c>
      <c r="F16" s="226">
        <f>IF(ISNUMBER(IF(D_I="SI",Datos!K16,Datos!K16+Datos!AE16)),IF(D_I="SI",Datos!K16,Datos!K16+Datos!AE16)," - ")</f>
        <v>613</v>
      </c>
      <c r="G16" s="1034" t="str">
        <f>IF(Datos!E16&lt;&gt;"",Datos!E16,Datos!D16)</f>
        <v>04</v>
      </c>
      <c r="H16" s="227">
        <f>IF(ISNUMBER(IF(D_I="SI",Datos!L16,Datos!L16+Datos!AF16)),IF(D_I="SI",Datos!L16,Datos!L16+Datos!AF16)," - ")</f>
        <v>337</v>
      </c>
      <c r="I16" s="1044" t="str">
        <f>IF(ISNUMBER(Datos!AS16/Datos!BM16),Datos!AS16/Datos!BM16," - ")</f>
        <v xml:space="preserve"> - </v>
      </c>
      <c r="J16" s="1045">
        <f>IF(ISNUMBER(Datos!BY16/Datos!CN16),Datos!BY16/Datos!CN16," - ")</f>
        <v>0</v>
      </c>
      <c r="K16" s="230">
        <f t="shared" si="3"/>
        <v>-1.1730205278592375E-2</v>
      </c>
      <c r="L16" s="1025">
        <f>IF(ISNUMBER(NºAsuntos!I16/NºAsuntos!G16),(NºAsuntos!I16/NºAsuntos!G16)*11," - ")</f>
        <v>6.0473083197389892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34</v>
      </c>
      <c r="D17" s="225">
        <f>IF(ISNUMBER(IF(D_I="SI",Datos!I17,Datos!I17+Datos!AC17)),IF(D_I="SI",Datos!I17,Datos!I17+Datos!AC17)," - ")</f>
        <v>19</v>
      </c>
      <c r="E17" s="226">
        <f>IF(ISNUMBER(IF(D_I="SI",Datos!J17,Datos!J17+Datos!AD17)),IF(D_I="SI",Datos!J17,Datos!J17+Datos!AD17)," - ")</f>
        <v>48</v>
      </c>
      <c r="F17" s="226">
        <f>IF(ISNUMBER(IF(D_I="SI",Datos!K17,Datos!K17+Datos!AE17)),IF(D_I="SI",Datos!K17,Datos!K17+Datos!AE17)," - ")</f>
        <v>61</v>
      </c>
      <c r="G17" s="1034" t="str">
        <f>IF(Datos!E17&lt;&gt;"",Datos!E17,Datos!D17)</f>
        <v>37</v>
      </c>
      <c r="H17" s="227">
        <f>IF(ISNUMBER(IF(D_I="SI",Datos!L17,Datos!L17+Datos!AF17)),IF(D_I="SI",Datos!L17,Datos!L17+Datos!AF17)," - ")</f>
        <v>21</v>
      </c>
      <c r="I17" s="1044" t="str">
        <f>IF(ISNUMBER(Datos!AS17/Datos!BM17),Datos!AS17/Datos!BM17," - ")</f>
        <v xml:space="preserve"> - </v>
      </c>
      <c r="J17" s="1045" t="str">
        <f>IF(ISNUMBER((Datos!BY17+Datos!BZ17)/Datos!CN17),(Datos!BY17+Datos!BZ17)/Datos!CN17," - ")</f>
        <v xml:space="preserve"> - </v>
      </c>
      <c r="K17" s="230">
        <f t="shared" si="3"/>
        <v>-0.38235294117647056</v>
      </c>
      <c r="L17" s="1025">
        <f>IF(ISNUMBER(NºAsuntos!I17/NºAsuntos!G17),(NºAsuntos!I17/NºAsuntos!G17)*11," - ")</f>
        <v>3.7868852459016393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375</v>
      </c>
      <c r="D18" s="1049">
        <f>SUBTOTAL(9,D15:D17)</f>
        <v>371</v>
      </c>
      <c r="E18" s="1050">
        <f>SUBTOTAL(9,E15:E17)</f>
        <v>657</v>
      </c>
      <c r="F18" s="1050">
        <f>SUBTOTAL(9,F15:F17)</f>
        <v>674</v>
      </c>
      <c r="G18" s="1052" t="str">
        <f ca="1">INDIRECT(CONCATENATE("G",ROW()-1))</f>
        <v>37</v>
      </c>
      <c r="H18" s="1053">
        <f ca="1">SUMIF(G$14:G17,G18,H$14:H17)</f>
        <v>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375</v>
      </c>
      <c r="D19" s="1071">
        <f>SUBTOTAL(9,D9:D18)</f>
        <v>371</v>
      </c>
      <c r="E19" s="1072">
        <f>SUBTOTAL(9,E9:E18)</f>
        <v>660</v>
      </c>
      <c r="F19" s="1072">
        <f>SUBTOTAL(9,F9:F18)</f>
        <v>676</v>
      </c>
      <c r="G19" s="1073"/>
      <c r="H19" s="1074">
        <f ca="1">SUMIF(B9:B18,"TOTAL",H9:H18)</f>
        <v>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qW317jqvrnHCPJt9ygvv74GEABLyHiFPKAh8BHLYz+a4/OSIZj4s9f9TpYsgowjNgAgqRXKMEywF7ZcPvOfdA==" saltValue="M1V5foL1BpvJke7f2pZq4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n8IZ7h/P871vEckq8TXlUjoe8vb0vf6SQ0RgkBrZR1tyEp9bGLEGKskW96OzKazfPzDG5WcFtAm/DFgQyjCaQ==" saltValue="HwBurg8W/En6Pq+LAFnuF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3</v>
      </c>
      <c r="K10" s="181">
        <v>2</v>
      </c>
      <c r="L10" s="181">
        <v>1</v>
      </c>
      <c r="M10" s="181">
        <v>0</v>
      </c>
      <c r="N10" s="181">
        <v>1</v>
      </c>
      <c r="O10" s="181">
        <v>0</v>
      </c>
      <c r="P10" s="181">
        <v>0</v>
      </c>
      <c r="Q10" s="181">
        <v>0</v>
      </c>
      <c r="R10" s="181">
        <v>0</v>
      </c>
      <c r="S10" s="181">
        <v>1</v>
      </c>
      <c r="T10" s="181">
        <v>6</v>
      </c>
      <c r="U10" s="181">
        <v>7</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6</v>
      </c>
      <c r="BA10" s="129">
        <f t="shared" si="0"/>
        <v>7</v>
      </c>
      <c r="BB10" s="129">
        <f t="shared" si="0"/>
        <v>0</v>
      </c>
      <c r="BC10" s="125">
        <f t="shared" si="0"/>
        <v>0</v>
      </c>
      <c r="BD10" s="126">
        <f>IF(ISNUMBER(BA10/AZ10),BA10/AZ10," - ")</f>
        <v>1.1666666666666667</v>
      </c>
      <c r="BE10" s="127">
        <f>IF(ISNUMBER(BB10/BA10),BB10/BA10, " - ")</f>
        <v>0</v>
      </c>
      <c r="BF10" s="127">
        <f>IF(ISNUMBER(BC10/BA10),BC10/BA10, " - ")</f>
        <v>0</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435</v>
      </c>
      <c r="J12" s="183">
        <v>888</v>
      </c>
      <c r="K12" s="183">
        <v>902</v>
      </c>
      <c r="L12" s="183">
        <v>477</v>
      </c>
      <c r="M12" s="183">
        <v>340</v>
      </c>
      <c r="N12" s="183">
        <v>319</v>
      </c>
      <c r="O12" s="181">
        <v>239</v>
      </c>
      <c r="P12" s="183">
        <v>204</v>
      </c>
      <c r="Q12" s="183">
        <v>94</v>
      </c>
      <c r="R12" s="183">
        <v>928</v>
      </c>
      <c r="S12" s="183">
        <v>468</v>
      </c>
      <c r="T12" s="183">
        <v>690</v>
      </c>
      <c r="U12" s="183">
        <v>606</v>
      </c>
      <c r="V12" s="183">
        <v>435</v>
      </c>
      <c r="W12" s="183">
        <v>189</v>
      </c>
      <c r="X12" s="189">
        <v>174</v>
      </c>
      <c r="Y12" s="191">
        <v>3</v>
      </c>
      <c r="Z12" s="181">
        <v>86</v>
      </c>
      <c r="AA12" s="181">
        <v>113</v>
      </c>
      <c r="AB12" s="181">
        <v>14</v>
      </c>
      <c r="AC12" s="183">
        <v>0</v>
      </c>
      <c r="AD12" s="183">
        <v>0</v>
      </c>
      <c r="AE12" s="183">
        <v>0</v>
      </c>
      <c r="AF12" s="189">
        <v>0</v>
      </c>
      <c r="AG12" s="202">
        <v>29</v>
      </c>
      <c r="AH12" s="183">
        <v>71</v>
      </c>
      <c r="AI12" s="183">
        <v>97</v>
      </c>
      <c r="AJ12" s="203">
        <v>3</v>
      </c>
      <c r="AK12" s="182">
        <v>0</v>
      </c>
      <c r="AL12" s="183">
        <v>0</v>
      </c>
      <c r="AM12" s="183">
        <v>0</v>
      </c>
      <c r="AN12" s="189">
        <v>0</v>
      </c>
      <c r="AO12" s="259">
        <v>1</v>
      </c>
      <c r="AP12" s="155">
        <v>1</v>
      </c>
      <c r="AQ12" s="155">
        <v>1</v>
      </c>
      <c r="AR12" s="154">
        <v>1</v>
      </c>
      <c r="AS12" s="340" t="s">
        <v>802</v>
      </c>
      <c r="AT12" s="203"/>
      <c r="AU12" s="202"/>
      <c r="AV12" s="203"/>
      <c r="AW12" s="202"/>
      <c r="AX12" s="203"/>
      <c r="AY12" s="126">
        <f t="shared" si="1"/>
        <v>497</v>
      </c>
      <c r="AZ12" s="127">
        <f t="shared" si="1"/>
        <v>761</v>
      </c>
      <c r="BA12" s="127">
        <f t="shared" si="1"/>
        <v>703</v>
      </c>
      <c r="BB12" s="127">
        <f t="shared" si="1"/>
        <v>438</v>
      </c>
      <c r="BC12" s="125">
        <f>IF(ISNUMBER(X12),X12," - ")</f>
        <v>174</v>
      </c>
      <c r="BD12" s="126">
        <f t="shared" si="2"/>
        <v>0.92378449408672803</v>
      </c>
      <c r="BE12" s="127">
        <f t="shared" si="3"/>
        <v>0.6230440967283073</v>
      </c>
      <c r="BF12" s="127">
        <f t="shared" si="4"/>
        <v>0.24751066856330015</v>
      </c>
      <c r="BG12" s="196">
        <f t="shared" si="5"/>
        <v>1.7894736842105263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435</v>
      </c>
      <c r="J13" s="184">
        <f t="shared" si="6"/>
        <v>891</v>
      </c>
      <c r="K13" s="184">
        <f t="shared" si="6"/>
        <v>904</v>
      </c>
      <c r="L13" s="184">
        <f t="shared" si="6"/>
        <v>478</v>
      </c>
      <c r="M13" s="184">
        <f t="shared" si="6"/>
        <v>340</v>
      </c>
      <c r="N13" s="184">
        <f t="shared" si="6"/>
        <v>320</v>
      </c>
      <c r="O13" s="184">
        <f t="shared" si="6"/>
        <v>239</v>
      </c>
      <c r="P13" s="184">
        <f t="shared" si="6"/>
        <v>204</v>
      </c>
      <c r="Q13" s="184">
        <f t="shared" si="6"/>
        <v>94</v>
      </c>
      <c r="R13" s="184">
        <f t="shared" si="6"/>
        <v>928</v>
      </c>
      <c r="S13" s="184">
        <f t="shared" si="6"/>
        <v>469</v>
      </c>
      <c r="T13" s="184">
        <f t="shared" si="6"/>
        <v>696</v>
      </c>
      <c r="U13" s="184">
        <f t="shared" si="6"/>
        <v>613</v>
      </c>
      <c r="V13" s="184">
        <f t="shared" si="6"/>
        <v>435</v>
      </c>
      <c r="W13" s="184">
        <f t="shared" si="6"/>
        <v>189</v>
      </c>
      <c r="X13" s="184">
        <f t="shared" si="6"/>
        <v>174</v>
      </c>
      <c r="Y13" s="184">
        <f t="shared" si="6"/>
        <v>3</v>
      </c>
      <c r="Z13" s="184">
        <f t="shared" si="6"/>
        <v>86</v>
      </c>
      <c r="AA13" s="184">
        <f t="shared" si="6"/>
        <v>113</v>
      </c>
      <c r="AB13" s="184">
        <f t="shared" si="6"/>
        <v>14</v>
      </c>
      <c r="AC13" s="184">
        <f t="shared" si="6"/>
        <v>0</v>
      </c>
      <c r="AD13" s="184">
        <f t="shared" si="6"/>
        <v>0</v>
      </c>
      <c r="AE13" s="184">
        <f t="shared" si="6"/>
        <v>0</v>
      </c>
      <c r="AF13" s="184">
        <f>SUBTOTAL(9,AF9:AF12)</f>
        <v>0</v>
      </c>
      <c r="AG13" s="184">
        <f t="shared" ref="AG13:AT13" si="7">SUBTOTAL(9,AG8:AG12)</f>
        <v>29</v>
      </c>
      <c r="AH13" s="184">
        <f t="shared" si="7"/>
        <v>71</v>
      </c>
      <c r="AI13" s="184">
        <f t="shared" si="7"/>
        <v>97</v>
      </c>
      <c r="AJ13" s="184">
        <f t="shared" si="7"/>
        <v>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498</v>
      </c>
      <c r="AZ13" s="184">
        <f>SUBTOTAL(9,AZ8:AZ12)</f>
        <v>767</v>
      </c>
      <c r="BA13" s="184">
        <f>SUBTOTAL(9,BA8:BA12)</f>
        <v>710</v>
      </c>
      <c r="BB13" s="184">
        <f>SUBTOTAL(9,BB8:BB12)</f>
        <v>438</v>
      </c>
      <c r="BC13" s="184">
        <f>SUBTOTAL(9,BC8:BC12)</f>
        <v>174</v>
      </c>
      <c r="BD13" s="205">
        <f>IF(ISNUMBER(BA13/AZ13),BA13/AZ13," - ")</f>
        <v>0.9256844850065189</v>
      </c>
      <c r="BE13" s="206">
        <f>IF(ISNUMBER(BB13/BA13),BB13/BA13, " - ")</f>
        <v>0.61690140845070418</v>
      </c>
      <c r="BF13" s="206">
        <f>IF(ISNUMBER(BC13/BA13),BC13/BA13, " - ")</f>
        <v>0.24507042253521127</v>
      </c>
      <c r="BG13" s="207">
        <f>IF(ISNUMBER((AY13+AZ13)/BA13),(AY13+AZ13)/BA13," - ")</f>
        <v>1.7816901408450705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352</v>
      </c>
      <c r="J16" s="183">
        <v>609</v>
      </c>
      <c r="K16" s="183">
        <v>613</v>
      </c>
      <c r="L16" s="183">
        <v>337</v>
      </c>
      <c r="M16" s="183">
        <v>70</v>
      </c>
      <c r="N16" s="183">
        <v>371</v>
      </c>
      <c r="O16" s="181">
        <v>0</v>
      </c>
      <c r="P16" s="183">
        <v>9</v>
      </c>
      <c r="Q16" s="183">
        <v>11</v>
      </c>
      <c r="R16" s="183">
        <v>31</v>
      </c>
      <c r="S16" s="183">
        <v>299</v>
      </c>
      <c r="T16" s="183">
        <v>640</v>
      </c>
      <c r="U16" s="183">
        <v>487</v>
      </c>
      <c r="V16" s="183">
        <v>352</v>
      </c>
      <c r="W16" s="183">
        <v>65</v>
      </c>
      <c r="X16" s="189">
        <v>318</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299</v>
      </c>
      <c r="AZ16" s="127">
        <f t="shared" si="9"/>
        <v>640</v>
      </c>
      <c r="BA16" s="127">
        <f t="shared" si="9"/>
        <v>487</v>
      </c>
      <c r="BB16" s="127">
        <f t="shared" si="9"/>
        <v>352</v>
      </c>
      <c r="BC16" s="125">
        <f>IF(ISNUMBER(W16),W16," - ")</f>
        <v>65</v>
      </c>
      <c r="BD16" s="126">
        <f t="shared" ref="BD16" si="11">IF(ISNUMBER(BA16/AZ16),BA16/AZ16," - ")</f>
        <v>0.76093750000000004</v>
      </c>
      <c r="BE16" s="127">
        <f t="shared" ref="BE16" si="12">IF(ISNUMBER(BB16/BA16),BB16/BA16, " - ")</f>
        <v>0.7227926078028748</v>
      </c>
      <c r="BF16" s="127">
        <f t="shared" ref="BF16" si="13">IF(ISNUMBER(BC16/BA16),BC16/BA16, " - ")</f>
        <v>0.13347022587268995</v>
      </c>
      <c r="BG16" s="196">
        <f t="shared" si="10"/>
        <v>1.9281314168377823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48</v>
      </c>
      <c r="K17" s="183">
        <v>61</v>
      </c>
      <c r="L17" s="183">
        <v>21</v>
      </c>
      <c r="M17" s="183">
        <v>0</v>
      </c>
      <c r="N17" s="183">
        <v>47</v>
      </c>
      <c r="O17" s="183">
        <v>0</v>
      </c>
      <c r="P17" s="183">
        <v>0</v>
      </c>
      <c r="Q17" s="183">
        <v>0</v>
      </c>
      <c r="R17" s="183">
        <v>0</v>
      </c>
      <c r="S17" s="183">
        <v>14</v>
      </c>
      <c r="T17" s="183">
        <v>25</v>
      </c>
      <c r="U17" s="183">
        <v>20</v>
      </c>
      <c r="V17" s="183">
        <v>19</v>
      </c>
      <c r="W17" s="183">
        <v>0</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v>
      </c>
      <c r="AZ17" s="129">
        <f t="shared" si="14"/>
        <v>25</v>
      </c>
      <c r="BA17" s="129">
        <f t="shared" si="14"/>
        <v>20</v>
      </c>
      <c r="BB17" s="129">
        <f t="shared" si="14"/>
        <v>19</v>
      </c>
      <c r="BC17" s="125">
        <f>IF(ISNUMBER(W17),W17," - ")</f>
        <v>0</v>
      </c>
      <c r="BD17" s="126">
        <f>IF(ISNUMBER(BA17/AZ17),BA17/AZ17," - ")</f>
        <v>0.8</v>
      </c>
      <c r="BE17" s="127">
        <f>IF(ISNUMBER(BB17/BA17),BB17/BA17, " - ")</f>
        <v>0.95</v>
      </c>
      <c r="BF17" s="127">
        <f>IF(ISNUMBER(BC17/BA17),BC17/BA17, " - ")</f>
        <v>0</v>
      </c>
      <c r="BG17" s="196">
        <f>IF(ISNUMBER((AY17+AZ17)/BA17),(AY17+AZ17)/BA17," - ")</f>
        <v>1.95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371</v>
      </c>
      <c r="J18" s="184">
        <f t="shared" si="15"/>
        <v>657</v>
      </c>
      <c r="K18" s="184">
        <f t="shared" si="15"/>
        <v>674</v>
      </c>
      <c r="L18" s="184">
        <f t="shared" si="15"/>
        <v>358</v>
      </c>
      <c r="M18" s="184">
        <f t="shared" si="15"/>
        <v>70</v>
      </c>
      <c r="N18" s="184">
        <f t="shared" si="15"/>
        <v>418</v>
      </c>
      <c r="O18" s="184">
        <f t="shared" si="15"/>
        <v>0</v>
      </c>
      <c r="P18" s="184">
        <f t="shared" si="15"/>
        <v>9</v>
      </c>
      <c r="Q18" s="184">
        <f t="shared" si="15"/>
        <v>11</v>
      </c>
      <c r="R18" s="184">
        <f t="shared" si="15"/>
        <v>31</v>
      </c>
      <c r="S18" s="184">
        <f t="shared" si="15"/>
        <v>313</v>
      </c>
      <c r="T18" s="184">
        <f t="shared" si="15"/>
        <v>665</v>
      </c>
      <c r="U18" s="184">
        <f t="shared" si="15"/>
        <v>507</v>
      </c>
      <c r="V18" s="184">
        <f t="shared" si="15"/>
        <v>371</v>
      </c>
      <c r="W18" s="184">
        <f t="shared" si="15"/>
        <v>65</v>
      </c>
      <c r="X18" s="184">
        <f t="shared" si="15"/>
        <v>330</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313</v>
      </c>
      <c r="AZ18" s="184">
        <f>SUBTOTAL(9,AZ14:AZ17)</f>
        <v>665</v>
      </c>
      <c r="BA18" s="184">
        <f>SUBTOTAL(9,BA14:BA17)</f>
        <v>507</v>
      </c>
      <c r="BB18" s="184">
        <f>SUBTOTAL(9,BB14:BB17)</f>
        <v>371</v>
      </c>
      <c r="BC18" s="184">
        <f>SUBTOTAL(9,BC14:BC17)</f>
        <v>65</v>
      </c>
      <c r="BD18" s="205">
        <f>IF(ISNUMBER(BA18/AZ18),BA18/AZ18," - ")</f>
        <v>0.76240601503759398</v>
      </c>
      <c r="BE18" s="206">
        <f>IF(ISNUMBER(BB18/BA18),BB18/BA18, " - ")</f>
        <v>0.73175542406311633</v>
      </c>
      <c r="BF18" s="206">
        <f>IF(ISNUMBER(BC18/BA18),BC18/BA18, " - ")</f>
        <v>0.12820512820512819</v>
      </c>
      <c r="BG18" s="207">
        <f>IF(ISNUMBER((AY18+AZ18)/BA18),(AY18+AZ18)/BA18," - ")</f>
        <v>1.9289940828402368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806</v>
      </c>
      <c r="J19" s="134">
        <f t="shared" si="18"/>
        <v>1548</v>
      </c>
      <c r="K19" s="134">
        <f t="shared" si="18"/>
        <v>1578</v>
      </c>
      <c r="L19" s="134">
        <f t="shared" si="18"/>
        <v>836</v>
      </c>
      <c r="M19" s="134">
        <f t="shared" si="18"/>
        <v>410</v>
      </c>
      <c r="N19" s="134">
        <f t="shared" si="18"/>
        <v>738</v>
      </c>
      <c r="O19" s="134">
        <f t="shared" si="18"/>
        <v>239</v>
      </c>
      <c r="P19" s="134">
        <f t="shared" si="18"/>
        <v>213</v>
      </c>
      <c r="Q19" s="134">
        <f t="shared" si="18"/>
        <v>105</v>
      </c>
      <c r="R19" s="134">
        <f t="shared" si="18"/>
        <v>959</v>
      </c>
      <c r="S19" s="134">
        <f t="shared" si="18"/>
        <v>782</v>
      </c>
      <c r="T19" s="134">
        <f t="shared" si="18"/>
        <v>1361</v>
      </c>
      <c r="U19" s="134">
        <f t="shared" si="18"/>
        <v>1120</v>
      </c>
      <c r="V19" s="134">
        <f t="shared" si="18"/>
        <v>806</v>
      </c>
      <c r="W19" s="134">
        <f t="shared" si="18"/>
        <v>254</v>
      </c>
      <c r="X19" s="134">
        <f t="shared" si="18"/>
        <v>504</v>
      </c>
      <c r="Y19" s="134">
        <f t="shared" si="18"/>
        <v>3</v>
      </c>
      <c r="Z19" s="134">
        <f t="shared" si="18"/>
        <v>86</v>
      </c>
      <c r="AA19" s="134">
        <f t="shared" si="18"/>
        <v>113</v>
      </c>
      <c r="AB19" s="134">
        <f t="shared" si="18"/>
        <v>14</v>
      </c>
      <c r="AC19" s="134">
        <f t="shared" si="18"/>
        <v>0</v>
      </c>
      <c r="AD19" s="134">
        <f t="shared" si="18"/>
        <v>1</v>
      </c>
      <c r="AE19" s="134">
        <f t="shared" si="18"/>
        <v>1</v>
      </c>
      <c r="AF19" s="134">
        <f t="shared" si="18"/>
        <v>0</v>
      </c>
      <c r="AG19" s="134">
        <f t="shared" si="18"/>
        <v>29</v>
      </c>
      <c r="AH19" s="134">
        <f t="shared" si="18"/>
        <v>71</v>
      </c>
      <c r="AI19" s="134">
        <f t="shared" si="18"/>
        <v>97</v>
      </c>
      <c r="AJ19" s="134">
        <f t="shared" si="18"/>
        <v>3</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811</v>
      </c>
      <c r="AZ19" s="134">
        <f>SUBTOTAL(9,AZ9:AZ18)</f>
        <v>1432</v>
      </c>
      <c r="BA19" s="134">
        <f>SUBTOTAL(9,BA9:BA18)</f>
        <v>1217</v>
      </c>
      <c r="BB19" s="134">
        <f>SUBTOTAL(9,BB9:BB18)</f>
        <v>809</v>
      </c>
      <c r="BC19" s="135">
        <f>SUBTOTAL(9,BC9:BC18)</f>
        <v>239</v>
      </c>
      <c r="BD19" s="213">
        <f>IF(ISNUMBER(BA19/AZ19),BA19/AZ19," - ")</f>
        <v>0.84986033519553073</v>
      </c>
      <c r="BE19" s="210">
        <f>IF(ISNUMBER(BB19/BA19),BB19/BA19, " - ")</f>
        <v>0.66474938373048476</v>
      </c>
      <c r="BF19" s="210">
        <f>IF(ISNUMBER(BC19/BA19),BC19/BA19, " - ")</f>
        <v>0.19638455217748563</v>
      </c>
      <c r="BG19" s="135">
        <f>IF(ISNUMBER((AY19+AZ19)/BA19),(AY19+AZ19)/BA19," - ")</f>
        <v>1.8430566967953985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oK4SJaJ1hBmVZS13CN2qNo9GgPsxw+ElrUmTdHVUQ7I0SnVvBo7QgQi0K7Gk25Npzgkc929dh0FHv0UQv0itg==" saltValue="YTqeFSu9qIiJyoN68WiVN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gWeTd38pPTm4mQgWEECLjnt9crmlgbGnxdX/rdcF/ttNg32ZuW1sAjy8lJQ1XihISSd7+mEHotzFRmtmk+ssg==" saltValue="6RIe34eA5f19kFwDSefJG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SANTA MARIA LA REAL DE NIEVA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86</v>
      </c>
      <c r="O12" s="334"/>
      <c r="P12" s="334"/>
      <c r="Q12" s="226">
        <f>IF(ISNUMBER(Datos!P12),Datos!P12,0)</f>
        <v>204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v>
      </c>
      <c r="AI12" s="334" t="str">
        <f>IF(ISNUMBER(Datos!CD12),Datos!CD12,"-")</f>
        <v>-</v>
      </c>
      <c r="AJ12" s="334" t="str">
        <f>IF(ISNUMBER(Datos!EN12),Datos!EN12," - ")</f>
        <v xml:space="preserve"> - </v>
      </c>
      <c r="AK12" s="334"/>
      <c r="AL12" s="479"/>
      <c r="AM12" s="335">
        <f>IF(ISNUMBER(Datos!R12),Datos!R12," - ")</f>
        <v>928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340</v>
      </c>
      <c r="BD12" s="229">
        <f>IF(ISNUMBER(Datos!N12),Datos!N12," - ")</f>
        <v>319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1.0420944558521561</v>
      </c>
      <c r="BH12" s="260">
        <f>IF(ISNUMBER(((IF(J_V="SI",Datos!L12/Datos!K12,(Datos!L12+Datos!AB12)/(Datos!K12+Datos!AA12)))*11)/factor_trimestre),((IF(J_V="SI",Datos!L12/Datos!K12,(Datos!L12+Datos!AB12)/(Datos!K12+Datos!AA12)))*11)/factor_trimestre," - ")</f>
        <v>5.3211822660098518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0.13447432762836187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86</v>
      </c>
      <c r="O13" s="900">
        <f t="shared" si="0"/>
        <v>0</v>
      </c>
      <c r="P13" s="900">
        <f t="shared" si="0"/>
        <v>0</v>
      </c>
      <c r="Q13" s="899">
        <f t="shared" si="0"/>
        <v>204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94</v>
      </c>
      <c r="AD13" s="899">
        <f t="shared" si="1"/>
        <v>0</v>
      </c>
      <c r="AE13" s="899">
        <f t="shared" si="1"/>
        <v>0</v>
      </c>
      <c r="AF13" s="899">
        <f t="shared" si="1"/>
        <v>1</v>
      </c>
      <c r="AG13" s="899">
        <f t="shared" si="1"/>
        <v>0</v>
      </c>
      <c r="AH13" s="899">
        <f t="shared" si="1"/>
        <v>14</v>
      </c>
      <c r="AI13" s="899">
        <f t="shared" si="1"/>
        <v>0</v>
      </c>
      <c r="AJ13" s="899">
        <f t="shared" si="1"/>
        <v>0</v>
      </c>
      <c r="AK13" s="899">
        <f t="shared" si="1"/>
        <v>0</v>
      </c>
      <c r="AL13" s="899">
        <f t="shared" si="1"/>
        <v>0</v>
      </c>
      <c r="AM13" s="899">
        <f t="shared" si="1"/>
        <v>928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340</v>
      </c>
      <c r="BD13" s="899">
        <f t="shared" si="1"/>
        <v>320</v>
      </c>
      <c r="BE13" s="899">
        <f t="shared" si="1"/>
        <v>0</v>
      </c>
      <c r="BF13" s="899">
        <f t="shared" si="1"/>
        <v>0</v>
      </c>
      <c r="BG13" s="899">
        <f>IF(ISNUMBER(Datos!K13/Datos!J13),Datos!K13/Datos!J13," - ")</f>
        <v>1.0145903479236813</v>
      </c>
      <c r="BH13" s="903">
        <f>IF(ISNUMBER(((Datos!L13/Datos!K13)*11)/factor_trimestre),((Datos!L13/Datos!K13)*11)/factor_trimestre," - ")</f>
        <v>5.8163716814159292</v>
      </c>
      <c r="BI13" s="899">
        <f>IF(ISNUMBER('Resol  Asuntos'!D13/NºAsuntos!G13),'Resol  Asuntos'!D13/NºAsuntos!G13," - ")</f>
        <v>0.33431661750245822</v>
      </c>
      <c r="BJ13" s="899" t="str">
        <f>IF(ISNUMBER(Datos!CI13/Datos!CJ13),Datos!CI13/Datos!CJ13," - ")</f>
        <v xml:space="preserve"> - </v>
      </c>
      <c r="BK13" s="899">
        <f>SUBTOTAL(9,BK8:BK12)</f>
        <v>0</v>
      </c>
      <c r="BL13" s="899" t="str">
        <f>IF(ISNUMBER((I13-AB13+L13)/(F13)),(I13-AB13+L13)/(F13)," - ")</f>
        <v xml:space="preserve"> - </v>
      </c>
      <c r="BM13" s="904">
        <f>SUBTOTAL(9,BM9:BM12)</f>
        <v>0.13447432762836187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341</v>
      </c>
      <c r="G16" s="598">
        <f>IF(ISNUMBER(IF(D_I="SI",Datos!I16,Datos!I16+Datos!AC16)),IF(D_I="SI",Datos!I16,Datos!I16+Datos!AC16)," - ")</f>
        <v>352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613</v>
      </c>
      <c r="AC16" s="226">
        <f>IF(ISNUMBER(Datos!Q16),Datos!Q16," - ")</f>
        <v>11</v>
      </c>
      <c r="AD16" s="334"/>
      <c r="AE16" s="484"/>
      <c r="AF16" s="596">
        <f>IF(ISNUMBER(IF(D_I="SI",Datos!L16,Datos!L16+Datos!AF16)),IF(D_I="SI",Datos!L16,Datos!L16+Datos!AF16)," - ")</f>
        <v>337</v>
      </c>
      <c r="AG16" s="334"/>
      <c r="AH16" s="334"/>
      <c r="AI16" s="334"/>
      <c r="AJ16" s="334"/>
      <c r="AK16" s="334"/>
      <c r="AL16" s="479"/>
      <c r="AM16" s="335">
        <f>IF(ISNUMBER(Datos!R16),Datos!R16," - ")</f>
        <v>31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70</v>
      </c>
      <c r="BD16" s="229">
        <f>IF(ISNUMBER(Datos!N16),Datos!N16," - ")</f>
        <v>371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1.006568144499179</v>
      </c>
      <c r="BH16" s="260">
        <f>IF(ISNUMBER(((IF(D_I="SI",Datos!L16/Datos!K16,(Datos!L16+Datos!AF16)/(Datos!K16+Datos!AE16)))*11)/factor_trimestre),((IF(D_I="SI",Datos!L16/Datos!K16,(Datos!L16+Datos!AF16)/(Datos!K16+Datos!AE16)))*11)/factor_trimestre," - ")</f>
        <v>6.0473083197389892</v>
      </c>
      <c r="BI16" s="243">
        <f>IF(ISNUMBER('Resol  Asuntos'!D16/NºAsuntos!G16),'Resol  Asuntos'!D16/NºAsuntos!G16," - ")</f>
        <v>0.11419249592169657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61</v>
      </c>
      <c r="AC17" s="226">
        <f>IF(ISNUMBER(Datos!Q17),Datos!Q17," - ")</f>
        <v>0</v>
      </c>
      <c r="AD17" s="334"/>
      <c r="AE17" s="484"/>
      <c r="AF17" s="332">
        <f>IF(ISNUMBER(Datos!L17),Datos!L17,"-")</f>
        <v>21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47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1.2708333333333333</v>
      </c>
      <c r="BH17" s="260">
        <f>IF(ISNUMBER(((IF(D_I="SI",Datos!L17/Datos!K17,(Datos!L17+Datos!AF17)/(Datos!K17+Datos!AE17)))*11)/factor_trimestre),((IF(D_I="SI",Datos!L17/Datos!K17,(Datos!L17+Datos!AF17)/(Datos!K17+Datos!AE17)))*11)/factor_trimestre," - ")</f>
        <v>3.7868852459016393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341</v>
      </c>
      <c r="G18" s="898">
        <f>SUBTOTAL(9,G15:G17)</f>
        <v>371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674</v>
      </c>
      <c r="AC18" s="899">
        <f t="shared" si="4"/>
        <v>11</v>
      </c>
      <c r="AD18" s="899">
        <f t="shared" si="4"/>
        <v>0</v>
      </c>
      <c r="AE18" s="899">
        <f t="shared" si="4"/>
        <v>0</v>
      </c>
      <c r="AF18" s="899">
        <f t="shared" si="4"/>
        <v>358</v>
      </c>
      <c r="AG18" s="899">
        <f t="shared" si="4"/>
        <v>0</v>
      </c>
      <c r="AH18" s="899">
        <f t="shared" si="4"/>
        <v>0</v>
      </c>
      <c r="AI18" s="899">
        <f t="shared" si="4"/>
        <v>0</v>
      </c>
      <c r="AJ18" s="899">
        <f t="shared" si="4"/>
        <v>0</v>
      </c>
      <c r="AK18" s="899">
        <f t="shared" si="4"/>
        <v>0</v>
      </c>
      <c r="AL18" s="899">
        <f t="shared" si="4"/>
        <v>0</v>
      </c>
      <c r="AM18" s="899">
        <f t="shared" si="4"/>
        <v>31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70</v>
      </c>
      <c r="BD18" s="899">
        <f t="shared" si="4"/>
        <v>418</v>
      </c>
      <c r="BE18" s="899">
        <f t="shared" si="4"/>
        <v>0</v>
      </c>
      <c r="BF18" s="899">
        <f t="shared" si="4"/>
        <v>0</v>
      </c>
      <c r="BG18" s="899">
        <f>IF(ISNUMBER(Datos!K18/Datos!J18),Datos!K18/Datos!J18," - ")</f>
        <v>1.025875190258752</v>
      </c>
      <c r="BH18" s="903">
        <f>IF(ISNUMBER(((Datos!L18/Datos!K18)*11)/factor_trimestre),((Datos!L18/Datos!K18)*11)/factor_trimestre," - ")</f>
        <v>5.8427299703264097</v>
      </c>
      <c r="BI18" s="899">
        <f>SUBTOTAL(9,BI15:BI17)</f>
        <v>0.11419249592169657</v>
      </c>
      <c r="BJ18" s="899">
        <f>SUBTOTAL(9,BJ15:BJ17)</f>
        <v>0</v>
      </c>
      <c r="BK18" s="899">
        <f>SUBTOTAL(9,BK15:BK17)</f>
        <v>0</v>
      </c>
      <c r="BL18" s="899">
        <f>IF(ISNUMBER((I18-AB18+L18)/(F18)),(I18-AB18+L18)/(F18)," - ")</f>
        <v>-1.9765395894428153</v>
      </c>
      <c r="BM18" s="905">
        <f>IF(ISNUMBER((Datos!P18-Datos!Q18)/(Datos!R18-Datos!P18+Datos!Q18)),(Datos!P18-Datos!Q18)/(Datos!R18-Datos!P18+Datos!Q18)," - ")</f>
        <v>-6.0606060606060608E-2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341</v>
      </c>
      <c r="G19" s="820">
        <f t="shared" si="6"/>
        <v>371</v>
      </c>
      <c r="H19" s="822">
        <f t="shared" si="6"/>
        <v>0</v>
      </c>
      <c r="I19" s="820">
        <f t="shared" si="6"/>
        <v>0</v>
      </c>
      <c r="J19" s="822">
        <f t="shared" si="6"/>
        <v>0</v>
      </c>
      <c r="K19" s="822">
        <f t="shared" si="6"/>
        <v>0</v>
      </c>
      <c r="L19" s="881">
        <f t="shared" si="6"/>
        <v>0</v>
      </c>
      <c r="M19" s="881">
        <f t="shared" si="6"/>
        <v>0</v>
      </c>
      <c r="N19" s="881">
        <f t="shared" si="6"/>
        <v>86</v>
      </c>
      <c r="O19" s="881">
        <f t="shared" si="6"/>
        <v>0</v>
      </c>
      <c r="P19" s="881">
        <f t="shared" si="6"/>
        <v>0</v>
      </c>
      <c r="Q19" s="822">
        <f t="shared" si="6"/>
        <v>213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676</v>
      </c>
      <c r="AC19" s="821">
        <f t="shared" si="7"/>
        <v>105</v>
      </c>
      <c r="AD19" s="821">
        <f t="shared" si="7"/>
        <v>0</v>
      </c>
      <c r="AE19" s="821">
        <f t="shared" si="7"/>
        <v>0</v>
      </c>
      <c r="AF19" s="828">
        <f t="shared" si="7"/>
        <v>359</v>
      </c>
      <c r="AG19" s="828">
        <f t="shared" si="7"/>
        <v>0</v>
      </c>
      <c r="AH19" s="828">
        <f t="shared" si="7"/>
        <v>14</v>
      </c>
      <c r="AI19" s="828">
        <f t="shared" si="7"/>
        <v>0</v>
      </c>
      <c r="AJ19" s="821">
        <f t="shared" si="7"/>
        <v>0</v>
      </c>
      <c r="AK19" s="828">
        <f t="shared" si="7"/>
        <v>0</v>
      </c>
      <c r="AL19" s="828">
        <f t="shared" si="7"/>
        <v>0</v>
      </c>
      <c r="AM19" s="828">
        <f t="shared" si="7"/>
        <v>959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410</v>
      </c>
      <c r="BD19" s="820">
        <f t="shared" si="7"/>
        <v>738</v>
      </c>
      <c r="BE19" s="820">
        <f t="shared" si="7"/>
        <v>0</v>
      </c>
      <c r="BF19" s="830">
        <f t="shared" si="7"/>
        <v>0</v>
      </c>
      <c r="BG19" s="915">
        <f>IF(ISNUMBER(Datos!K19/Datos!J19),Datos!K19/Datos!J19," - ")</f>
        <v>1.0193798449612403</v>
      </c>
      <c r="BH19" s="915">
        <f>IF(ISNUMBER(((Datos!L19/Datos!K19)*11)/factor_trimestre),((Datos!L19/Datos!K19)*11)/factor_trimestre," - ")</f>
        <v>5.827629911280102</v>
      </c>
      <c r="BI19" s="813">
        <f>IF(ISNUMBER(Datos!J19/Datos!I19),Datos!J19/Datos!I19," - ")</f>
        <v>1.9205955334987592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-1.9824046920821115</v>
      </c>
      <c r="BM19" s="889">
        <f>IF(ISNUMBER((Datos!P19-Datos!Q19+R19)/(Datos!R19-Datos!P19+Datos!Q19-R19)),(Datos!P19-Datos!Q19+R19)/(Datos!R19-Datos!P19+Datos!Q19-R19)," - ")</f>
        <v>0.12690951821386603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196.87644179366239</v>
      </c>
      <c r="G21" s="552">
        <f>IF(ISNUMBER(STDEV(G8:G18)),STDEV(G8:G18),"-")</f>
        <v>194.80323405939646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342.12322341519001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160.58227382456218</v>
      </c>
      <c r="BD21" s="551"/>
      <c r="BE21" s="551">
        <f>IF(ISNUMBER(STDEV(BE8:BE18)),STDEV(BE8:BE18),"-")</f>
        <v>0</v>
      </c>
      <c r="BF21" s="556">
        <f>IF(ISNUMBER(STDEV(BF8:BF18)),STDEV(BF8:BF18),"-")</f>
        <v>0</v>
      </c>
      <c r="BG21" s="775">
        <f>IF(ISNUMBER(STDEV(BG8:BG18)),STDEV(BG8:BG18),"-")</f>
        <v>0.19341205583987719</v>
      </c>
      <c r="BH21" s="776">
        <f>IF(ISNUMBER(STDEV(BH8:BH18)),STDEV(BH8:BH18),"-")</f>
        <v>0.82528973006902151</v>
      </c>
      <c r="BI21" s="249">
        <f>IF(ISNUMBER(STDEV(BI8:BI18)),STDEV(BI8:BI18),"-")</f>
        <v>0.13986800646542386</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hAjMbQZk3TBULp5KoN3Yo0wTcwABfSTEjmMZFGnkj3WoEuAMv6bjG+iO0uIqpJsISMwJdRNiDYLCEZpqtw9FgA==" saltValue="7kKKCif2Wzi4cSIlPgZex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SEGOVIA  Resumenes por Partidos Judiciales  SANTA MARIA LA REAL DE NIEVA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94</v>
      </c>
      <c r="AA12" s="332" t="str">
        <f>IF(ISNUMBER(IF(J_V="SI",Datos!L12,Datos!L12+Datos!AB12)-IF(Monitorios="SI",Datos!CD12,0)),
                          IF(J_V="SI",Datos!L12,Datos!L12+Datos!AB12)-IF(Monitorios="SI",Datos!CD12,0),
                          " - ")</f>
        <v xml:space="preserve"> - </v>
      </c>
      <c r="AB12" s="334"/>
      <c r="AC12" s="334"/>
      <c r="AD12" s="484"/>
      <c r="AE12" s="484">
        <f>IF(ISNUMBER(Datos!R12),Datos!R12," - ")</f>
        <v>928</v>
      </c>
      <c r="AF12" s="229" t="str">
        <f>IF(ISNUMBER(Datos!BV12),Datos!BV12," - ")</f>
        <v xml:space="preserve"> - </v>
      </c>
      <c r="AG12" s="225" t="str">
        <f>IF(ISNUMBER(Datos!DV12),Datos!DV12," - ")</f>
        <v xml:space="preserve"> - </v>
      </c>
      <c r="AH12" s="298"/>
      <c r="AI12" s="227"/>
      <c r="AJ12" s="225">
        <f>IF(ISNUMBER(Datos!M12),Datos!M12," - ")</f>
        <v>340</v>
      </c>
      <c r="AK12" s="229">
        <f>IF(ISNUMBER(Datos!N12),Datos!N12," - ")</f>
        <v>319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5.3211822660098518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0.13447432762836187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204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94</v>
      </c>
      <c r="AA13" s="900">
        <f t="shared" si="2"/>
        <v>1</v>
      </c>
      <c r="AB13" s="900">
        <f t="shared" si="2"/>
        <v>0</v>
      </c>
      <c r="AC13" s="900">
        <f t="shared" si="2"/>
        <v>0</v>
      </c>
      <c r="AD13" s="900">
        <f t="shared" si="2"/>
        <v>0</v>
      </c>
      <c r="AE13" s="900">
        <f t="shared" si="2"/>
        <v>928</v>
      </c>
      <c r="AF13" s="908">
        <f t="shared" si="2"/>
        <v>0</v>
      </c>
      <c r="AG13" s="908">
        <f t="shared" si="2"/>
        <v>0</v>
      </c>
      <c r="AH13" s="908">
        <f t="shared" si="2"/>
        <v>0</v>
      </c>
      <c r="AI13" s="908">
        <f t="shared" si="2"/>
        <v>0</v>
      </c>
      <c r="AJ13" s="908">
        <f t="shared" si="2"/>
        <v>340</v>
      </c>
      <c r="AK13" s="908">
        <f t="shared" si="2"/>
        <v>320</v>
      </c>
      <c r="AL13" s="908">
        <f t="shared" si="2"/>
        <v>0</v>
      </c>
      <c r="AM13" s="908">
        <f t="shared" si="2"/>
        <v>0</v>
      </c>
      <c r="AN13" s="908">
        <f t="shared" si="2"/>
        <v>0</v>
      </c>
      <c r="AO13" s="904">
        <f>IF(ISNUMBER(((NºAsuntos!I13/NºAsuntos!G13)*11)/factor_trimestre),((NºAsuntos!I13/NºAsuntos!G13)*11)/factor_trimestre," - ")</f>
        <v>5.3215339233038348</v>
      </c>
      <c r="AP13" s="910" t="str">
        <f>IF(ISNUMBER(Datos!CI13/Datos!CJ13),Datos!CI13/Datos!CJ13," - ")</f>
        <v xml:space="preserve"> - </v>
      </c>
      <c r="AQ13" s="928">
        <f t="shared" ref="AQ13:AV13" si="3">SUBTOTAL(9,AQ9:AQ12)</f>
        <v>0</v>
      </c>
      <c r="AR13" s="928">
        <f t="shared" si="3"/>
        <v>0.13447432762836187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341</v>
      </c>
      <c r="G16" s="225">
        <f>IF(ISNUMBER(IF(D_I="SI",Datos!I16,Datos!I16+Datos!AC16)),IF(D_I="SI",Datos!I16,Datos!I16+Datos!AC16)," - ")</f>
        <v>352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613</v>
      </c>
      <c r="Z16" s="619">
        <f>IF(ISNUMBER(Datos!Q16),Datos!Q16," - ")</f>
        <v>11</v>
      </c>
      <c r="AA16" s="332">
        <f>IF(ISNUMBER(IF(D_I="SI",Datos!L16,Datos!L16+Datos!AF16)),IF(D_I="SI",Datos!L16,Datos!L16+Datos!AF16)," - ")</f>
        <v>337</v>
      </c>
      <c r="AB16" s="334"/>
      <c r="AC16" s="334"/>
      <c r="AD16" s="484"/>
      <c r="AE16" s="484">
        <f>IF(ISNUMBER(Datos!R16),Datos!R16," - ")</f>
        <v>31</v>
      </c>
      <c r="AF16" s="229" t="str">
        <f>IF(ISNUMBER(Datos!BV16),Datos!BV16," - ")</f>
        <v xml:space="preserve"> - </v>
      </c>
      <c r="AG16" s="225"/>
      <c r="AH16" s="298"/>
      <c r="AI16" s="227"/>
      <c r="AJ16" s="225">
        <f>IF(ISNUMBER(Datos!M16),Datos!M16," - ")</f>
        <v>70</v>
      </c>
      <c r="AK16" s="229">
        <f>IF(ISNUMBER(Datos!N16),Datos!N16," - ")</f>
        <v>371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6.0473083197389892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61</v>
      </c>
      <c r="Z17" s="619">
        <f>IF(ISNUMBER(Datos!Q17),Datos!Q17," - ")</f>
        <v>0</v>
      </c>
      <c r="AA17" s="332">
        <f>IF(ISNUMBER(Datos!L17),Datos!L17,"-")</f>
        <v>21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47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3.7868852459016393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341</v>
      </c>
      <c r="G18" s="898">
        <f>SUBTOTAL(9,G15:G17)</f>
        <v>371</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674</v>
      </c>
      <c r="Z18" s="932">
        <f t="shared" si="5"/>
        <v>11</v>
      </c>
      <c r="AA18" s="932">
        <f t="shared" si="5"/>
        <v>358</v>
      </c>
      <c r="AB18" s="932">
        <f t="shared" si="5"/>
        <v>0</v>
      </c>
      <c r="AC18" s="932">
        <f t="shared" si="5"/>
        <v>0</v>
      </c>
      <c r="AD18" s="932">
        <f t="shared" si="5"/>
        <v>0</v>
      </c>
      <c r="AE18" s="932">
        <f t="shared" si="5"/>
        <v>31</v>
      </c>
      <c r="AF18" s="932">
        <f t="shared" si="5"/>
        <v>0</v>
      </c>
      <c r="AG18" s="932">
        <f t="shared" si="5"/>
        <v>0</v>
      </c>
      <c r="AH18" s="932">
        <f t="shared" si="5"/>
        <v>0</v>
      </c>
      <c r="AI18" s="932">
        <f t="shared" si="5"/>
        <v>0</v>
      </c>
      <c r="AJ18" s="932">
        <f t="shared" si="5"/>
        <v>70</v>
      </c>
      <c r="AK18" s="932">
        <f t="shared" si="5"/>
        <v>418</v>
      </c>
      <c r="AL18" s="932">
        <f t="shared" si="5"/>
        <v>0</v>
      </c>
      <c r="AM18" s="932">
        <f t="shared" si="5"/>
        <v>0</v>
      </c>
      <c r="AN18" s="932">
        <f t="shared" si="5"/>
        <v>0</v>
      </c>
      <c r="AO18" s="934">
        <f>IF(ISNUMBER(((NºAsuntos!I18/NºAsuntos!G18)*11)/factor_trimestre),((NºAsuntos!I18/NºAsuntos!G18)*11)/factor_trimestre," - ")</f>
        <v>5.8427299703264097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341</v>
      </c>
      <c r="G19" s="820">
        <f t="shared" si="7"/>
        <v>371</v>
      </c>
      <c r="H19" s="821">
        <f t="shared" si="7"/>
        <v>0</v>
      </c>
      <c r="I19" s="820">
        <f t="shared" si="7"/>
        <v>0</v>
      </c>
      <c r="J19" s="822">
        <f t="shared" si="7"/>
        <v>0</v>
      </c>
      <c r="K19" s="820">
        <f t="shared" si="7"/>
        <v>0</v>
      </c>
      <c r="L19" s="823">
        <f t="shared" si="7"/>
        <v>0</v>
      </c>
      <c r="M19" s="820">
        <f t="shared" si="7"/>
        <v>0</v>
      </c>
      <c r="N19" s="821">
        <f t="shared" si="7"/>
        <v>213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676</v>
      </c>
      <c r="Z19" s="827">
        <f t="shared" si="8"/>
        <v>105</v>
      </c>
      <c r="AA19" s="828">
        <f t="shared" si="8"/>
        <v>359</v>
      </c>
      <c r="AB19" s="828">
        <f t="shared" si="8"/>
        <v>0</v>
      </c>
      <c r="AC19" s="828">
        <f t="shared" si="8"/>
        <v>0</v>
      </c>
      <c r="AD19" s="829">
        <f t="shared" si="8"/>
        <v>0</v>
      </c>
      <c r="AE19" s="829">
        <f t="shared" si="8"/>
        <v>959</v>
      </c>
      <c r="AF19" s="830">
        <f t="shared" si="8"/>
        <v>0</v>
      </c>
      <c r="AG19" s="831">
        <f t="shared" si="8"/>
        <v>0</v>
      </c>
      <c r="AH19" s="832">
        <f t="shared" si="8"/>
        <v>0</v>
      </c>
      <c r="AI19" s="830">
        <f t="shared" si="8"/>
        <v>0</v>
      </c>
      <c r="AJ19" s="820">
        <f t="shared" si="8"/>
        <v>410</v>
      </c>
      <c r="AK19" s="820">
        <f t="shared" si="8"/>
        <v>738</v>
      </c>
      <c r="AL19" s="820">
        <f t="shared" si="8"/>
        <v>0</v>
      </c>
      <c r="AM19" s="833">
        <f t="shared" si="8"/>
        <v>0</v>
      </c>
      <c r="AN19" s="823">
        <f>IF(ISNUMBER(Datos!K19/Datos!J19),Datos!K19/Datos!J19," - ")</f>
        <v>1.0193798449612403</v>
      </c>
      <c r="AO19" s="823">
        <f>IF(ISNUMBER(FIND("06",Criterios!A8,1)),(IF(ISNUMBER(((Datos!R19/Datos!Q19)*11)/factor_trimestre),((Datos!R19/Datos!Q19)*11)/factor_trimestre," - ")),(IF(ISNUMBER(((Datos!L19/Datos!K19)*11)/factor_trimestre),((Datos!L19/Datos!K19)*11)/factor_trimestre," - ")))</f>
        <v>5.827629911280102</v>
      </c>
      <c r="AP19" s="834" t="str">
        <f>IF(ISNUMBER(Datos!CI19/Datos!CJ19),Datos!CI19/Datos!CJ19," - ")</f>
        <v xml:space="preserve"> - </v>
      </c>
      <c r="AQ19" s="834">
        <f>IF(OR(ISNUMBER(FIND("01",Criterios!A8,1)),ISNUMBER(FIND("02",Criterios!A8,1)),ISNUMBER(FIND("03",Criterios!A8,1)),ISNUMBER(FIND("04",Criterios!A8,1))),(J19-Y19+K19)/(F19-K19),(I19-Y19+K19)/(F19-K19))</f>
        <v>-1.9824046920821115</v>
      </c>
      <c r="AR19" s="834">
        <f>IF(ISNUMBER((Datos!P19-Datos!Q19+O19)/(Datos!R19-Datos!P19+Datos!Q19-O19)),(Datos!P19-Datos!Q19+O19)/(Datos!R19-Datos!P19+Datos!Q19-O19)," - ")</f>
        <v>0.12690951821386603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196.87644179366239</v>
      </c>
      <c r="G21" s="552">
        <f>IF(ISNUMBER(STDEV(G8:G18)),STDEV(G8:G18),"-")</f>
        <v>194.80323405939646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160.58227382456218</v>
      </c>
      <c r="AK21" s="252"/>
      <c r="AL21" s="252">
        <f>IF(ISNUMBER(STDEV(AL8:AL18)),STDEV(AL8:AL18),"-")</f>
        <v>0</v>
      </c>
      <c r="AM21" s="254">
        <f>IF(ISNUMBER(STDEV(AM8:AM18)),STDEV(AM8:AM18),"-")</f>
        <v>0</v>
      </c>
      <c r="AN21" s="539">
        <f>IF(ISNUMBER(STDEV(AN8:AN18)),STDEV(AN8:AN18),"-")</f>
        <v>0</v>
      </c>
      <c r="AO21" s="540">
        <f>IF(ISNUMBER(STDEV(AO8:AO18)),STDEV(AO8:AO18),"-")</f>
        <v>0.79792103823495131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HiT8igZY6scPNYrVejOxvBfxg62NWltamjt709v0DfnihGDDi/KqIDmjFIKYGm/lIlcnoXQCc9/jhX65Eia8kg==" saltValue="fa2MKbPiFiHkYDSsGGpCn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mJ0EUOoIv0t8tFXt0MqSyrkgcR1wdqPGLQnt9JfKPaYxFWNbRy9xfKvXB/JKyW0khbskzyDcPgNfLkTToVv2g==" saltValue="qPRFn0SL8soD2wwX9rsZw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SEGOVIA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wnZBVbtz451oGIkfkQIBipxzdL3/JfHGDmCzIcJ3tTo7+Yt2Y0D1GGKPdFCVrXXn2x1PSdroJ4EVBcfq6msng==" saltValue="l3GLr+UOdnwrpd77BYJ96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SEGOVIA  Resumenes por Partidos Judiciales  SANTA MARIA LA REAL DE NIEVA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0.33431661750245822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0.23639754729933743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FFU7cDkwRwhHXzzdtpsG/aVF3h8toEZEvTXJ8E9kPs8LcOeupvxZ/4LAIVyJlyCJjxqpF6hRZZCgtMByQdNlVw==" saltValue="FU6QR6l9J/cA3yTRMkxYx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aYyiwrsuTN+Jt4+cFuKPBtK5UmMvSMS9bBJPZSh3hAzY0xJXRpxGnNnph5cJgZ/4C5zEiNLUo9LDTBzn0jnMQ==" saltValue="0EDVx+2vCGVIazdZd4oZ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SEGOVIA  Resumenes por Partidos Judiciales  SANTA MARIA LA REAL DE NIEVA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928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340</v>
      </c>
      <c r="AM12" s="690">
        <f>IF(ISNUMBER(Datos!N12+DatosP!N16),Datos!N12+DatosP!N16," - ")</f>
        <v>319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5.3211822660098518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0.13447432762836187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204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94</v>
      </c>
      <c r="AE13" s="939">
        <f t="shared" si="1"/>
        <v>0</v>
      </c>
      <c r="AF13" s="939">
        <f t="shared" si="1"/>
        <v>1</v>
      </c>
      <c r="AG13" s="939">
        <f t="shared" si="1"/>
        <v>0</v>
      </c>
      <c r="AH13" s="939">
        <f t="shared" si="1"/>
        <v>928</v>
      </c>
      <c r="AI13" s="939">
        <f t="shared" si="1"/>
        <v>0</v>
      </c>
      <c r="AJ13" s="939">
        <f t="shared" si="1"/>
        <v>0</v>
      </c>
      <c r="AK13" s="939">
        <f t="shared" si="1"/>
        <v>0</v>
      </c>
      <c r="AL13" s="939">
        <f t="shared" si="1"/>
        <v>340</v>
      </c>
      <c r="AM13" s="939">
        <f t="shared" si="1"/>
        <v>320</v>
      </c>
      <c r="AN13" s="939">
        <f t="shared" si="1"/>
        <v>0</v>
      </c>
      <c r="AO13" s="939">
        <f t="shared" si="1"/>
        <v>0</v>
      </c>
      <c r="AP13" s="944">
        <f>IF(ISNUMBER(((Datos!L13/Datos!K13)*11)/factor_trimestre),((Datos!L13/Datos!K13)*11)/factor_trimestre," - ")</f>
        <v>5.8163716814159292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0.13447432762836187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5.8427299703264097</v>
      </c>
      <c r="AQ18" s="944">
        <f>IF(ISNUMBER(((Datos!M18/Datos!L18)*11)/factor_trimestre),((Datos!M18/Datos!L18)*11)/factor_trimestre," - ")</f>
        <v>2.1508379888268156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-6.0606060606060608E-2</v>
      </c>
      <c r="AW18" s="946">
        <f>IF(ISNUMBER((Datos!Q18-Datos!R18)/(Datos!S18-Datos!Q18+Datos!R18)),(Datos!Q18-Datos!R18)/(Datos!S18-Datos!Q18+Datos!R18)," - ")</f>
        <v>-6.006006006006006E-2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204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94</v>
      </c>
      <c r="AE19" s="957">
        <f t="shared" si="5"/>
        <v>0</v>
      </c>
      <c r="AF19" s="958">
        <f t="shared" si="5"/>
        <v>1</v>
      </c>
      <c r="AG19" s="958">
        <f t="shared" si="5"/>
        <v>0</v>
      </c>
      <c r="AH19" s="958">
        <f t="shared" si="5"/>
        <v>928</v>
      </c>
      <c r="AI19" s="958">
        <f t="shared" si="5"/>
        <v>0</v>
      </c>
      <c r="AJ19" s="959">
        <f t="shared" si="5"/>
        <v>0</v>
      </c>
      <c r="AK19" s="959">
        <f t="shared" si="5"/>
        <v>0</v>
      </c>
      <c r="AL19" s="951">
        <f t="shared" si="5"/>
        <v>340</v>
      </c>
      <c r="AM19" s="951">
        <f t="shared" si="5"/>
        <v>320</v>
      </c>
      <c r="AN19" s="951">
        <f t="shared" si="5"/>
        <v>0</v>
      </c>
      <c r="AO19" s="951">
        <f t="shared" si="5"/>
        <v>0</v>
      </c>
      <c r="AP19" s="951">
        <f>IF(ISNUMBER(((Datos!L19/Datos!K19)*11)/factor_trimestre),((Datos!L19/Datos!K19)*11)/factor_trimestre," - ")</f>
        <v>5.827629911280102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0.12690951821386603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196.29909152447277</v>
      </c>
      <c r="AM21" s="736"/>
      <c r="AN21" s="736">
        <f>IF(ISNUMBER(STDEV(AN8:AN18)),STDEV(AN8:AN18),"-")</f>
        <v>0</v>
      </c>
      <c r="AO21" s="742">
        <f>IF(ISNUMBER(STDEV(AO8:AO18)),STDEV(AO8:AO18),"-")</f>
        <v>0</v>
      </c>
      <c r="AP21" s="779">
        <f>IF(ISNUMBER(STDEV(AP8:AP18)),STDEV(AP8:AP18),"-")</f>
        <v>0.25289160717483095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rS+NRjdOgGZzarONnBRbryzGZ4sZp82Ass4pgg6qhtxb8wwQMJItqRu0q5njiXQDHPS/sfii2d7eaPhVuRn/cQ==" saltValue="p6Lvgh0xQ/A3/pEJNjXo4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